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z-fs-01.enz.internal\usershares\mamc\Desktop\"/>
    </mc:Choice>
  </mc:AlternateContent>
  <bookViews>
    <workbookView xWindow="0" yWindow="0" windowWidth="19200" windowHeight="7356"/>
  </bookViews>
  <sheets>
    <sheet name="Travel" sheetId="1" r:id="rId1"/>
    <sheet name="Hospitality" sheetId="2" r:id="rId2"/>
    <sheet name="Gifts and Benefits" sheetId="4" r:id="rId3"/>
    <sheet name="All other expenses" sheetId="3" r:id="rId4"/>
  </sheets>
  <definedNames>
    <definedName name="_xlnm._FilterDatabase" localSheetId="3" hidden="1">'All other expenses'!$A$8:$F$29</definedName>
    <definedName name="_xlnm.Print_Area" localSheetId="3">'All other expenses'!$A$1:$E$31</definedName>
    <definedName name="_xlnm.Print_Area" localSheetId="2">'Gifts and Benefits'!$A$1:$E$13</definedName>
    <definedName name="_xlnm.Print_Area" localSheetId="1">Hospitality!$A$1:$F$27</definedName>
    <definedName name="_xlnm.Print_Area" localSheetId="0">Travel!$A$1:$D$149</definedName>
  </definedNames>
  <calcPr calcId="171026"/>
</workbook>
</file>

<file path=xl/calcChain.xml><?xml version="1.0" encoding="utf-8"?>
<calcChain xmlns="http://schemas.openxmlformats.org/spreadsheetml/2006/main">
  <c r="B144" i="1" l="1"/>
  <c r="B148" i="1"/>
  <c r="B27" i="2"/>
  <c r="B30" i="3"/>
  <c r="B4" i="3"/>
  <c r="B17" i="1"/>
  <c r="B132" i="1"/>
  <c r="B130" i="1"/>
  <c r="B127" i="1"/>
  <c r="B125" i="1"/>
  <c r="B124" i="1"/>
  <c r="B122" i="1"/>
  <c r="B119" i="1"/>
  <c r="B116" i="1"/>
  <c r="B115" i="1"/>
  <c r="B111" i="1"/>
  <c r="B108" i="1"/>
  <c r="B105" i="1"/>
  <c r="B103" i="1"/>
  <c r="B102" i="1"/>
  <c r="B100" i="1"/>
  <c r="B97" i="1"/>
  <c r="B95" i="1"/>
  <c r="B94" i="1"/>
  <c r="B93" i="1"/>
  <c r="B91" i="1"/>
  <c r="B88" i="1"/>
  <c r="B87" i="1"/>
  <c r="B85" i="1"/>
  <c r="B84" i="1"/>
  <c r="B81" i="1"/>
  <c r="B79" i="1"/>
  <c r="B77" i="1"/>
  <c r="B75" i="1"/>
  <c r="B74" i="1"/>
  <c r="B73" i="1"/>
  <c r="B71" i="1"/>
  <c r="B70" i="1"/>
  <c r="B67" i="1"/>
  <c r="B63" i="1"/>
  <c r="B61" i="1"/>
  <c r="B58" i="1"/>
  <c r="B53" i="1"/>
  <c r="B50" i="1"/>
  <c r="B47" i="1"/>
  <c r="B43" i="1"/>
  <c r="B41" i="1"/>
  <c r="B40" i="1"/>
  <c r="B39" i="1"/>
  <c r="B38" i="1"/>
  <c r="B37" i="1"/>
  <c r="B34" i="1"/>
  <c r="B31" i="1"/>
  <c r="B135" i="1"/>
  <c r="B22" i="1"/>
  <c r="B14" i="1"/>
  <c r="B16" i="1"/>
  <c r="B12" i="1"/>
  <c r="B15" i="1"/>
  <c r="B9" i="1"/>
  <c r="B28" i="1"/>
  <c r="B149" i="1"/>
  <c r="B3" i="2"/>
  <c r="D13" i="4"/>
  <c r="B3" i="3"/>
  <c r="B2" i="3"/>
  <c r="B4" i="4"/>
  <c r="B3" i="4"/>
  <c r="B2" i="4"/>
  <c r="B4" i="2"/>
  <c r="B2" i="2"/>
</calcChain>
</file>

<file path=xl/sharedStrings.xml><?xml version="1.0" encoding="utf-8"?>
<sst xmlns="http://schemas.openxmlformats.org/spreadsheetml/2006/main" count="405" uniqueCount="198">
  <si>
    <t>Chief Executive Expense Disclosure</t>
  </si>
  <si>
    <t xml:space="preserve">Organisation Name </t>
  </si>
  <si>
    <t>EDUCATION NEW ZEALAND</t>
  </si>
  <si>
    <t>Chief Executive</t>
  </si>
  <si>
    <t>GRANT MCPHERSON</t>
  </si>
  <si>
    <t>Disclosure period</t>
  </si>
  <si>
    <t>1 July 2016 to 30 June 2017</t>
  </si>
  <si>
    <t>International, domestic and local travel expenses</t>
  </si>
  <si>
    <t xml:space="preserve">
All expenses incurred by CE during international, domestic and local travel. For international travel, group expenses relating to each trip.
</t>
  </si>
  <si>
    <t>International Travel (including  travel within NZ at beginning and end of overseas trip)</t>
  </si>
  <si>
    <t>Date(s)</t>
  </si>
  <si>
    <t>Cost ($)
(inc GST)</t>
  </si>
  <si>
    <t xml:space="preserve">Purpose of trip </t>
  </si>
  <si>
    <t xml:space="preserve">Nature </t>
  </si>
  <si>
    <t>16/07/2016 - 20/07/2016</t>
  </si>
  <si>
    <t>Accompanying Prime Minister of NZ to Jakarta for five days</t>
  </si>
  <si>
    <t xml:space="preserve">Airfares </t>
  </si>
  <si>
    <t>Taxis</t>
  </si>
  <si>
    <t>Accommodation and meals</t>
  </si>
  <si>
    <t>17/10/2016 - 29/10/2016</t>
  </si>
  <si>
    <t>Meeting with British Council and education providers, visiting Berlin office and accompanying the Prime Minister of NZ to New Delhi for thirteen days</t>
  </si>
  <si>
    <t>Airfares</t>
  </si>
  <si>
    <t xml:space="preserve">Rental car </t>
  </si>
  <si>
    <t xml:space="preserve">Accommodation </t>
  </si>
  <si>
    <t>Meals</t>
  </si>
  <si>
    <t>13/05/2017 - 21/05/2017</t>
  </si>
  <si>
    <t>Accompanying the Minister of Tertiary Education, Skills and Employment to Beijing for nine days</t>
  </si>
  <si>
    <t>Accommodation</t>
  </si>
  <si>
    <t>APEC card application fee</t>
  </si>
  <si>
    <t>Passport photo</t>
  </si>
  <si>
    <t>26/05/2017 - 02/06/2017</t>
  </si>
  <si>
    <t>Attending NAFSA 2017 Annual Conference and Expo in Los Angeles for eight days</t>
  </si>
  <si>
    <t>Registration for Community College Luncheon at NAFSA</t>
  </si>
  <si>
    <t>Photos for Visa application</t>
  </si>
  <si>
    <t>Sub total</t>
  </si>
  <si>
    <t>Domestic Travel (within NZ, including travel to and from local airport)</t>
  </si>
  <si>
    <t>Nature</t>
  </si>
  <si>
    <t>Meeting with University of Auckland representatives in Auckland for one day</t>
  </si>
  <si>
    <t>27/07/2016 - 29/07/2016</t>
  </si>
  <si>
    <t>Meeting with Industry and University representatives in Christchurch and Dunedin for three days</t>
  </si>
  <si>
    <t>17/08/2016 - 19/08/2016</t>
  </si>
  <si>
    <t>Attending NZIEC 2016 Annual Conference and ENZ Board meeting in Auckland for three days</t>
  </si>
  <si>
    <t>Parking</t>
  </si>
  <si>
    <t>30/08/2016 - 31/08/2016</t>
  </si>
  <si>
    <t>Attending ASB Bank dinner function in Auckland to discuss the NZ future education for one day</t>
  </si>
  <si>
    <t>Airport parking</t>
  </si>
  <si>
    <t>Attending The Future of Learning - Scoping and Approach Definition Workshop at ASB Head office in Auckland for one day</t>
  </si>
  <si>
    <t>20/09/2016 - 21/09/2016</t>
  </si>
  <si>
    <t xml:space="preserve">Meeting with Queenstown Chamber of Commerce and Study Queenstown representatives in Queenstown for two days </t>
  </si>
  <si>
    <t>23/09/2016 - 24/09/2016</t>
  </si>
  <si>
    <t>Attending Saudi Arabia celebration function at Pasifika Complex in Auckland for two days</t>
  </si>
  <si>
    <t>12/10/2016 - 13/10/2016</t>
  </si>
  <si>
    <t>Attending ENZ Board and, Audit and Risk Committee meeting in Dunedin for two days</t>
  </si>
  <si>
    <t>Accommodation and breakfast for one people, dinner for six people</t>
  </si>
  <si>
    <t>Attending the opening function of Diwali Festival in Auckland for one day</t>
  </si>
  <si>
    <t>Coffee</t>
  </si>
  <si>
    <t>01/12/2016 - 02/12/2016</t>
  </si>
  <si>
    <t>Meeting with China Construction Bank and Academic Colleges Group representatives in Auckland for two days</t>
  </si>
  <si>
    <t xml:space="preserve">Breakfast </t>
  </si>
  <si>
    <t>Meeting with ASB Bank representative in Auckland for one day</t>
  </si>
  <si>
    <t>Attending the Joint Working Group meeting in Dunedin for one day</t>
  </si>
  <si>
    <t>Attending Study Queenstown meeting in Queenstown for one day</t>
  </si>
  <si>
    <t>23/02/2017 - 24/02/2017</t>
  </si>
  <si>
    <t>Attending Christchurch Educated Regional International Education Conference in Christchurch for two days</t>
  </si>
  <si>
    <t>01/03/2017 - 05/03/2017</t>
  </si>
  <si>
    <t>Attending Strategic Insight panel and industry meetings, visiting Auckland office for five days</t>
  </si>
  <si>
    <t>Amend flight booking</t>
  </si>
  <si>
    <t>Booking fee</t>
  </si>
  <si>
    <t>28/03/2017 - 30/03/2017</t>
  </si>
  <si>
    <t>Attending meeting with Mr Li Keqiang, Premier of the State Council of the People's Republic of China in Auckland for three days</t>
  </si>
  <si>
    <t>Attending industry meeting with Dr Kerry Spackman, winner of the KEA NZ World Class Award 2010 in Auckland for one day</t>
  </si>
  <si>
    <t>19/04/2017 - 20/04/2017</t>
  </si>
  <si>
    <t>Attending ENZ Board meeting in Christchurch for two days</t>
  </si>
  <si>
    <t>Amend return flight to Wellington due to rescheduling of a meeting with industry providers</t>
  </si>
  <si>
    <t>9/05/2017 - 10/05/2017</t>
  </si>
  <si>
    <t>Visiting Auckland office and attending dinner with Malaysian Scholarship Funding Agency in Auckland for two days</t>
  </si>
  <si>
    <t>Meeting with University of Waikato, Wintec and Hamilton City Council representatives in Hamilton for one day</t>
  </si>
  <si>
    <t>Meeting with ENZ Board member to discuss Board engagement in Auckland for one day</t>
  </si>
  <si>
    <t>15/06/2017 - 16/06/2017</t>
  </si>
  <si>
    <t>Meeting with AUT representative and attending NZ Story Board meeting in Auckland for two days</t>
  </si>
  <si>
    <t>Dinner</t>
  </si>
  <si>
    <t>Attending ENZ Connect Industry Update in Hamilton for one day</t>
  </si>
  <si>
    <t>Attending Schools International Education Business Association of New Zealand (SIEBA) first annual Hui in Christchurch for one day</t>
  </si>
  <si>
    <t>Attending North Shore ENZ Connect Industry Update and English NZ AGM in Auckland for one day</t>
  </si>
  <si>
    <t>Attending ENZ Connect Industry Update in Dunedin for one day</t>
  </si>
  <si>
    <t>Attending ENZ Connect Industry Update in Christchurch for one day</t>
  </si>
  <si>
    <t>28/06/2017 - 30/06/017</t>
  </si>
  <si>
    <t>Attending ENZ Connect Industry Update, MIT Strategic Planning Workshop and International Education Strategy Launch function in Auckland for three days</t>
  </si>
  <si>
    <t>Petrol</t>
  </si>
  <si>
    <t>Local Travel (within City, excluding travel to airport)</t>
  </si>
  <si>
    <t>Date</t>
  </si>
  <si>
    <t>Purpose of trip</t>
  </si>
  <si>
    <t>Attending the Higher Education Summit</t>
  </si>
  <si>
    <t>Meeting with Department of State Official</t>
  </si>
  <si>
    <t xml:space="preserve">Attending ENZ Global Meet </t>
  </si>
  <si>
    <t>Attending offsite meeting</t>
  </si>
  <si>
    <t>Taxi</t>
  </si>
  <si>
    <t>Meeting with external consultant regarding Latin America workshop</t>
  </si>
  <si>
    <t>Meeting with Pro-Vice-Chancellor of Massey University</t>
  </si>
  <si>
    <t>Meeting with NZ Film Commission representative</t>
  </si>
  <si>
    <t xml:space="preserve">Attending meeting with senior officials of NZ INC. </t>
  </si>
  <si>
    <t>Attending ENZ Connect Industry Update in Wellington</t>
  </si>
  <si>
    <t>Total travel expenses</t>
  </si>
  <si>
    <t>Hospitality</t>
  </si>
  <si>
    <t>All hospitality expenses provided by the CE in the context of his/her job to anyone external to the Public Service or statutory Crown entities.</t>
  </si>
  <si>
    <t xml:space="preserve">Hospitality Offered to Third Parties </t>
  </si>
  <si>
    <t xml:space="preserve">Purpose </t>
  </si>
  <si>
    <t>Reason</t>
  </si>
  <si>
    <t>Location/s</t>
  </si>
  <si>
    <t>Meeting with GM Member of Chartered Accountants Australia and NZ</t>
  </si>
  <si>
    <t>Breakfast meeting (2 people)</t>
  </si>
  <si>
    <t>Building relationship</t>
  </si>
  <si>
    <t>Wellington</t>
  </si>
  <si>
    <t>Meeting with Professor and Deputy Vice-Chancellor, University of Otago and ENZ Board member</t>
  </si>
  <si>
    <t xml:space="preserve">Breakfast meeting (3 people) </t>
  </si>
  <si>
    <t>Meeting with Catapult Leadership Training &amp; Development consultant</t>
  </si>
  <si>
    <t>Dinner meeting (2 people)</t>
  </si>
  <si>
    <t>Discuss professional development for staff</t>
  </si>
  <si>
    <t>Meeting with Waikato Institute of Technology Chief Executive</t>
  </si>
  <si>
    <t>Café meeting (2 people)</t>
  </si>
  <si>
    <t xml:space="preserve">Meeting with NZ Trade and Enterprise staff members </t>
  </si>
  <si>
    <t>Café meeting (3 people)</t>
  </si>
  <si>
    <t xml:space="preserve">Meeting with a Partner of SenateSHJ Auckland </t>
  </si>
  <si>
    <t>Discuss PR approach to India</t>
  </si>
  <si>
    <t>Auckland</t>
  </si>
  <si>
    <t>Meeting with Director of ICHOR</t>
  </si>
  <si>
    <t>Discuss recruitment strategy</t>
  </si>
  <si>
    <t>Meeting with Deputy Chief Executive of Ministry of Business, Innovation and Employment</t>
  </si>
  <si>
    <t xml:space="preserve">Meeting with ENZ staff member </t>
  </si>
  <si>
    <t>Offsite meeting</t>
  </si>
  <si>
    <t>Hosting dinner to farewell a ENZ Senior Leader</t>
  </si>
  <si>
    <t>Dinner (6 people)</t>
  </si>
  <si>
    <t xml:space="preserve">Farewell </t>
  </si>
  <si>
    <t>Meeting with ENZ GM Stakeholders and Communications</t>
  </si>
  <si>
    <t xml:space="preserve">Hosting dinner for Senior Leadership team meeting </t>
  </si>
  <si>
    <t>Dinner meeting (7 people)</t>
  </si>
  <si>
    <t xml:space="preserve">Meeting with the speaker of Latin America Workshop from Australia </t>
  </si>
  <si>
    <t>Lunch meeting (2 people)</t>
  </si>
  <si>
    <t>Discuss education opportunity in Latin America</t>
  </si>
  <si>
    <t>Meeting with external consultant</t>
  </si>
  <si>
    <t>Lunch meeting (3 people)</t>
  </si>
  <si>
    <t>Discuss education opportunity within the creative industry</t>
  </si>
  <si>
    <t>Meeting with Chief Executive of Tourism NZ</t>
  </si>
  <si>
    <t>Meeting with film-making industry participants</t>
  </si>
  <si>
    <t>Lunch meeting (6 people)</t>
  </si>
  <si>
    <t xml:space="preserve">Total  expenses </t>
  </si>
  <si>
    <t>Gifts and Benefits over $50 annual value</t>
  </si>
  <si>
    <t>All gifts, invitations to events and other hospitality, of $50 or more in total value per year, offered to the CE by people external to the organisation</t>
  </si>
  <si>
    <t>Gifts  and hospitality</t>
  </si>
  <si>
    <t>Description</t>
  </si>
  <si>
    <t>Offered by</t>
  </si>
  <si>
    <t>Estimated value (NZ$)
(inc GST)</t>
  </si>
  <si>
    <t>Comments</t>
  </si>
  <si>
    <t>Invitation to a dinner function to discuss the future of education in New Zealand</t>
  </si>
  <si>
    <t>ASB Bank Ltd</t>
  </si>
  <si>
    <t>Value unknown</t>
  </si>
  <si>
    <t>Bottle of wine</t>
  </si>
  <si>
    <t>TNS NZ Ltd</t>
  </si>
  <si>
    <t>Total gifts &amp; benefits</t>
  </si>
  <si>
    <t>All Other Expenses</t>
  </si>
  <si>
    <t>All other expenditure incurred by the chief executive that is not travel, hospitality or gifts</t>
  </si>
  <si>
    <t>Comment / explanation</t>
  </si>
  <si>
    <t>Location</t>
  </si>
  <si>
    <t>Magazine subscription</t>
  </si>
  <si>
    <t>The Economist annual subscription</t>
  </si>
  <si>
    <t>Phone and data</t>
  </si>
  <si>
    <t>Vodafone cell phone charge July 2016</t>
  </si>
  <si>
    <t>New Zealand and Indonesia</t>
  </si>
  <si>
    <t>Vodafone cell phone charge August 2016</t>
  </si>
  <si>
    <t>New Zealand</t>
  </si>
  <si>
    <t xml:space="preserve">Office stationery </t>
  </si>
  <si>
    <t>Writing pad</t>
  </si>
  <si>
    <t>Vodafone cell phone charge September 2016</t>
  </si>
  <si>
    <t>Vodafone cell phone charge October 2016</t>
  </si>
  <si>
    <t>22/11/2016 - 28/11/2016</t>
  </si>
  <si>
    <t>Temporary car park during Wellington office building closure for earthquake building assessment</t>
  </si>
  <si>
    <t>Vodafone cell phone charge November 2016</t>
  </si>
  <si>
    <t>New Zealand, UK and India</t>
  </si>
  <si>
    <t>Vodafone cell phone charge December 2016</t>
  </si>
  <si>
    <t>Vodafone cell phone charge January 2017</t>
  </si>
  <si>
    <t>Vodafone cell phone charge February 2017</t>
  </si>
  <si>
    <t xml:space="preserve">Newspaper subscription </t>
  </si>
  <si>
    <t>The Sydney Morning Herald subscription</t>
  </si>
  <si>
    <t>Membership fee</t>
  </si>
  <si>
    <t>Institute of Financial Professionals NZ Inc.</t>
  </si>
  <si>
    <t>Stationery</t>
  </si>
  <si>
    <t>NZ brand marketing merchandise</t>
  </si>
  <si>
    <t>Vodafone cell phone charges March 2017</t>
  </si>
  <si>
    <t>Institute of Directors annual subscription</t>
  </si>
  <si>
    <t>X-ray Specialist</t>
  </si>
  <si>
    <t>Travel insurance claim</t>
  </si>
  <si>
    <t>Vodafone cell phone charge April 2017</t>
  </si>
  <si>
    <t>Keypad for iPad</t>
  </si>
  <si>
    <t>Vodafone cell phone charge May 2017</t>
  </si>
  <si>
    <t>New Zealand, China and USA</t>
  </si>
  <si>
    <t>Vodafone cell phone charge June 2017</t>
  </si>
  <si>
    <t>New Zealand and USA</t>
  </si>
  <si>
    <t>Total 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</si>
</sst>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d\/mm\/yyyy"/>
  </numFmts>
  <fonts count="1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2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9" xfId="0" applyFont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0" fillId="0" borderId="0" xfId="0" applyBorder="1" applyAlignment="1">
      <alignment vertical="top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5" borderId="7" xfId="0" applyFont="1" applyFill="1" applyBorder="1" applyAlignment="1">
      <alignment vertical="center" readingOrder="1"/>
    </xf>
    <xf numFmtId="0" fontId="7" fillId="0" borderId="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5" fillId="7" borderId="12" xfId="0" applyFont="1" applyFill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9" fillId="0" borderId="0" xfId="0" applyFont="1" applyBorder="1" applyAlignment="1">
      <alignment vertical="center" wrapText="1" readingOrder="1"/>
    </xf>
    <xf numFmtId="0" fontId="13" fillId="0" borderId="0" xfId="0" applyFont="1" applyBorder="1"/>
    <xf numFmtId="0" fontId="7" fillId="0" borderId="0" xfId="0" applyFont="1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64" fontId="7" fillId="8" borderId="2" xfId="0" applyNumberFormat="1" applyFont="1" applyFill="1" applyBorder="1" applyAlignment="1">
      <alignment vertical="center" wrapText="1"/>
    </xf>
    <xf numFmtId="164" fontId="2" fillId="5" borderId="2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0" borderId="1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9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top" wrapText="1"/>
    </xf>
    <xf numFmtId="164" fontId="11" fillId="0" borderId="0" xfId="1" applyNumberFormat="1" applyFont="1" applyBorder="1" applyAlignment="1">
      <alignment vertical="center" wrapText="1"/>
    </xf>
    <xf numFmtId="164" fontId="0" fillId="0" borderId="0" xfId="1" applyNumberFormat="1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164" fontId="11" fillId="0" borderId="1" xfId="1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164" fontId="0" fillId="0" borderId="1" xfId="1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2" fillId="8" borderId="10" xfId="0" applyFont="1" applyFill="1" applyBorder="1" applyAlignment="1">
      <alignment vertical="center" wrapText="1"/>
    </xf>
    <xf numFmtId="164" fontId="2" fillId="8" borderId="1" xfId="0" applyNumberFormat="1" applyFont="1" applyFill="1" applyBorder="1" applyAlignment="1">
      <alignment vertical="center"/>
    </xf>
    <xf numFmtId="164" fontId="0" fillId="0" borderId="0" xfId="2" applyNumberFormat="1" applyFont="1" applyBorder="1" applyAlignment="1">
      <alignment wrapText="1"/>
    </xf>
    <xf numFmtId="0" fontId="0" fillId="0" borderId="2" xfId="0" applyBorder="1" applyAlignment="1">
      <alignment wrapText="1"/>
    </xf>
    <xf numFmtId="14" fontId="5" fillId="7" borderId="12" xfId="0" applyNumberFormat="1" applyFont="1" applyFill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wrapText="1"/>
    </xf>
    <xf numFmtId="14" fontId="6" fillId="5" borderId="7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wrapText="1"/>
    </xf>
    <xf numFmtId="14" fontId="0" fillId="0" borderId="0" xfId="0" applyNumberFormat="1" applyBorder="1" applyAlignment="1">
      <alignment horizontal="left" vertical="top"/>
    </xf>
    <xf numFmtId="14" fontId="0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0" fillId="5" borderId="8" xfId="0" applyFill="1" applyBorder="1" applyAlignment="1"/>
    <xf numFmtId="0" fontId="0" fillId="0" borderId="9" xfId="0" applyFont="1" applyBorder="1" applyAlignment="1">
      <alignment vertical="center" wrapText="1"/>
    </xf>
    <xf numFmtId="164" fontId="0" fillId="0" borderId="0" xfId="1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4" fontId="0" fillId="0" borderId="9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10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0" borderId="2" xfId="2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164" fontId="11" fillId="0" borderId="0" xfId="0" applyNumberFormat="1" applyFont="1" applyFill="1" applyBorder="1" applyAlignment="1">
      <alignment horizontal="left" vertical="center" wrapText="1"/>
    </xf>
    <xf numFmtId="164" fontId="6" fillId="5" borderId="2" xfId="0" applyNumberFormat="1" applyFont="1" applyFill="1" applyBorder="1" applyAlignment="1">
      <alignment horizontal="left" vertical="center" wrapText="1" readingOrder="1"/>
    </xf>
    <xf numFmtId="43" fontId="7" fillId="0" borderId="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5" borderId="2" xfId="0" applyFont="1" applyFill="1" applyBorder="1" applyAlignment="1"/>
    <xf numFmtId="0" fontId="0" fillId="5" borderId="2" xfId="0" applyFont="1" applyFill="1" applyBorder="1" applyAlignment="1">
      <alignment wrapText="1"/>
    </xf>
    <xf numFmtId="0" fontId="0" fillId="5" borderId="8" xfId="0" applyFont="1" applyFill="1" applyBorder="1" applyAlignment="1">
      <alignment wrapText="1"/>
    </xf>
    <xf numFmtId="0" fontId="6" fillId="5" borderId="7" xfId="0" applyFont="1" applyFill="1" applyBorder="1" applyAlignment="1">
      <alignment vertical="center" wrapText="1" readingOrder="1"/>
    </xf>
    <xf numFmtId="0" fontId="7" fillId="5" borderId="1" xfId="0" applyFont="1" applyFill="1" applyBorder="1" applyAlignment="1">
      <alignment vertical="center" wrapText="1"/>
    </xf>
    <xf numFmtId="164" fontId="7" fillId="5" borderId="2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/>
    <xf numFmtId="0" fontId="0" fillId="2" borderId="3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0" fillId="0" borderId="8" xfId="0" applyBorder="1" applyAlignment="1">
      <alignment wrapText="1"/>
    </xf>
    <xf numFmtId="165" fontId="11" fillId="0" borderId="9" xfId="0" applyNumberFormat="1" applyFont="1" applyBorder="1" applyAlignment="1">
      <alignment horizontal="left" wrapText="1"/>
    </xf>
    <xf numFmtId="165" fontId="11" fillId="0" borderId="9" xfId="0" applyNumberFormat="1" applyFont="1" applyBorder="1" applyAlignment="1">
      <alignment horizontal="left" vertical="center" wrapText="1"/>
    </xf>
    <xf numFmtId="165" fontId="11" fillId="0" borderId="9" xfId="0" applyNumberFormat="1" applyFont="1" applyFill="1" applyBorder="1" applyAlignment="1">
      <alignment horizontal="left" vertical="center" wrapText="1"/>
    </xf>
    <xf numFmtId="165" fontId="0" fillId="0" borderId="9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left" vertical="center" wrapText="1"/>
    </xf>
    <xf numFmtId="165" fontId="0" fillId="0" borderId="7" xfId="0" applyNumberFormat="1" applyBorder="1" applyAlignment="1">
      <alignment horizontal="left" vertical="center" wrapText="1"/>
    </xf>
    <xf numFmtId="165" fontId="11" fillId="0" borderId="7" xfId="0" applyNumberFormat="1" applyFont="1" applyBorder="1" applyAlignment="1">
      <alignment horizontal="left" vertical="center" wrapText="1"/>
    </xf>
    <xf numFmtId="165" fontId="11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4" borderId="10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vertical="center" wrapText="1" readingOrder="1"/>
    </xf>
    <xf numFmtId="0" fontId="4" fillId="4" borderId="11" xfId="0" applyFont="1" applyFill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9" fillId="0" borderId="12" xfId="0" applyFont="1" applyBorder="1" applyAlignment="1">
      <alignment vertical="center" wrapText="1" readingOrder="1"/>
    </xf>
    <xf numFmtId="0" fontId="14" fillId="0" borderId="7" xfId="0" applyFont="1" applyFill="1" applyBorder="1" applyAlignment="1">
      <alignment horizontal="center" vertical="center" wrapText="1" readingOrder="1"/>
    </xf>
    <xf numFmtId="0" fontId="15" fillId="0" borderId="2" xfId="0" applyFont="1" applyBorder="1" applyAlignment="1">
      <alignment horizontal="center" vertical="center" wrapText="1" readingOrder="1"/>
    </xf>
    <xf numFmtId="0" fontId="15" fillId="0" borderId="8" xfId="0" applyFont="1" applyBorder="1" applyAlignment="1">
      <alignment horizontal="center" vertical="center" wrapText="1" readingOrder="1"/>
    </xf>
    <xf numFmtId="0" fontId="10" fillId="0" borderId="7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 readingOrder="1"/>
    </xf>
    <xf numFmtId="0" fontId="4" fillId="3" borderId="7" xfId="0" applyNumberFormat="1" applyFont="1" applyFill="1" applyBorder="1" applyAlignment="1">
      <alignment vertical="center" wrapText="1" readingOrder="1"/>
    </xf>
    <xf numFmtId="0" fontId="4" fillId="3" borderId="2" xfId="0" applyNumberFormat="1" applyFont="1" applyFill="1" applyBorder="1" applyAlignment="1">
      <alignment vertical="center" wrapText="1" readingOrder="1"/>
    </xf>
    <xf numFmtId="0" fontId="4" fillId="6" borderId="7" xfId="0" applyFont="1" applyFill="1" applyBorder="1" applyAlignment="1">
      <alignment vertical="center" readingOrder="1"/>
    </xf>
    <xf numFmtId="0" fontId="4" fillId="6" borderId="2" xfId="0" applyFont="1" applyFill="1" applyBorder="1" applyAlignment="1">
      <alignment vertical="center" readingOrder="1"/>
    </xf>
    <xf numFmtId="0" fontId="0" fillId="0" borderId="0" xfId="0" applyFont="1" applyBorder="1" applyAlignment="1">
      <alignment horizontal="justify" vertical="center"/>
    </xf>
    <xf numFmtId="0" fontId="17" fillId="0" borderId="12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4" fillId="4" borderId="7" xfId="0" applyFont="1" applyFill="1" applyBorder="1" applyAlignment="1">
      <alignment horizontal="left" vertical="center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0" fontId="0" fillId="0" borderId="2" xfId="0" applyBorder="1" applyAlignment="1">
      <alignment wrapText="1" readingOrder="1"/>
    </xf>
    <xf numFmtId="0" fontId="0" fillId="0" borderId="8" xfId="0" applyBorder="1" applyAlignment="1">
      <alignment wrapText="1" readingOrder="1"/>
    </xf>
    <xf numFmtId="0" fontId="4" fillId="4" borderId="7" xfId="0" applyFont="1" applyFill="1" applyBorder="1" applyAlignment="1">
      <alignment vertical="center" wrapText="1" readingOrder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 readingOrder="1"/>
    </xf>
    <xf numFmtId="0" fontId="0" fillId="0" borderId="10" xfId="0" applyBorder="1" applyAlignment="1">
      <alignment vertical="center" wrapText="1" readingOrder="1"/>
    </xf>
    <xf numFmtId="164" fontId="6" fillId="2" borderId="3" xfId="0" applyNumberFormat="1" applyFont="1" applyFill="1" applyBorder="1" applyAlignment="1">
      <alignment horizontal="left" vertical="center" wrapText="1" readingOrder="1"/>
    </xf>
    <xf numFmtId="0" fontId="0" fillId="0" borderId="1" xfId="0" applyBorder="1" applyAlignment="1">
      <alignment horizontal="left" vertical="center" wrapText="1" readingOrder="1"/>
    </xf>
    <xf numFmtId="0" fontId="5" fillId="4" borderId="7" xfId="0" applyFont="1" applyFill="1" applyBorder="1" applyAlignment="1">
      <alignment vertical="center" wrapText="1" readingOrder="1"/>
    </xf>
    <xf numFmtId="0" fontId="5" fillId="4" borderId="2" xfId="0" applyFont="1" applyFill="1" applyBorder="1" applyAlignment="1">
      <alignment vertical="center" wrapText="1" readingOrder="1"/>
    </xf>
    <xf numFmtId="0" fontId="16" fillId="0" borderId="7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readingOrder="1"/>
    </xf>
  </cellXfs>
  <cellStyles count="4">
    <cellStyle name="Comma" xfId="1" builtinId="3"/>
    <cellStyle name="Currency" xfId="2" builtinId="4"/>
    <cellStyle name="Normal" xfId="0" builtinId="0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168"/>
  <sheetViews>
    <sheetView tabSelected="1" zoomScaleNormal="100" workbookViewId="0">
      <selection activeCell="G12" sqref="G12"/>
    </sheetView>
  </sheetViews>
  <sheetFormatPr defaultColWidth="9.109375" defaultRowHeight="13.2" x14ac:dyDescent="0.25"/>
  <cols>
    <col min="1" max="1" width="27.44140625" style="6" customWidth="1"/>
    <col min="2" max="2" width="23.5546875" style="1" customWidth="1"/>
    <col min="3" max="3" width="56.33203125" style="1" customWidth="1"/>
    <col min="4" max="4" width="30.6640625" style="1" customWidth="1"/>
    <col min="5" max="6" width="9.109375" style="113"/>
    <col min="7" max="7" width="10.109375" style="113" bestFit="1" customWidth="1"/>
    <col min="8" max="180" width="9.109375" style="113"/>
    <col min="181" max="16384" width="9.109375" style="1"/>
  </cols>
  <sheetData>
    <row r="1" spans="1:180" ht="36" customHeight="1" x14ac:dyDescent="0.25">
      <c r="A1" s="140" t="s">
        <v>0</v>
      </c>
      <c r="B1" s="141"/>
      <c r="C1" s="141"/>
      <c r="D1" s="142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</row>
    <row r="2" spans="1:180" ht="36" customHeight="1" x14ac:dyDescent="0.25">
      <c r="A2" s="30" t="s">
        <v>1</v>
      </c>
      <c r="B2" s="148" t="s">
        <v>2</v>
      </c>
      <c r="C2" s="148"/>
      <c r="D2" s="14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</row>
    <row r="3" spans="1:180" ht="36" customHeight="1" x14ac:dyDescent="0.25">
      <c r="A3" s="30" t="s">
        <v>3</v>
      </c>
      <c r="B3" s="149" t="s">
        <v>4</v>
      </c>
      <c r="C3" s="149"/>
      <c r="D3" s="149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</row>
    <row r="4" spans="1:180" ht="36" customHeight="1" x14ac:dyDescent="0.25">
      <c r="A4" s="30" t="s">
        <v>5</v>
      </c>
      <c r="B4" s="149" t="s">
        <v>6</v>
      </c>
      <c r="C4" s="149"/>
      <c r="D4" s="149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</row>
    <row r="5" spans="1:180" s="3" customFormat="1" ht="36" customHeight="1" x14ac:dyDescent="0.25">
      <c r="A5" s="150" t="s">
        <v>7</v>
      </c>
      <c r="B5" s="151"/>
      <c r="C5" s="151"/>
      <c r="D5" s="152"/>
    </row>
    <row r="6" spans="1:180" s="3" customFormat="1" ht="26.25" customHeight="1" x14ac:dyDescent="0.25">
      <c r="A6" s="153" t="s">
        <v>8</v>
      </c>
      <c r="B6" s="154"/>
      <c r="C6" s="154"/>
      <c r="D6" s="155"/>
    </row>
    <row r="7" spans="1:180" s="4" customFormat="1" ht="19.5" customHeight="1" x14ac:dyDescent="0.3">
      <c r="A7" s="145" t="s">
        <v>9</v>
      </c>
      <c r="B7" s="146"/>
      <c r="C7" s="146"/>
      <c r="D7" s="147"/>
    </row>
    <row r="8" spans="1:180" s="24" customFormat="1" ht="26.4" x14ac:dyDescent="0.25">
      <c r="A8" s="22" t="s">
        <v>10</v>
      </c>
      <c r="B8" s="23" t="s">
        <v>11</v>
      </c>
      <c r="C8" s="23" t="s">
        <v>12</v>
      </c>
      <c r="D8" s="84" t="s">
        <v>13</v>
      </c>
    </row>
    <row r="9" spans="1:180" s="24" customFormat="1" x14ac:dyDescent="0.25">
      <c r="A9" s="53" t="s">
        <v>14</v>
      </c>
      <c r="B9" s="56">
        <f>3456.9+133.7+790</f>
        <v>4380.6000000000004</v>
      </c>
      <c r="C9" s="54" t="s">
        <v>15</v>
      </c>
      <c r="D9" s="85" t="s">
        <v>16</v>
      </c>
    </row>
    <row r="10" spans="1:180" s="24" customFormat="1" x14ac:dyDescent="0.25">
      <c r="A10" s="53"/>
      <c r="B10" s="56">
        <v>95.7</v>
      </c>
      <c r="C10" s="54"/>
      <c r="D10" s="85" t="s">
        <v>17</v>
      </c>
    </row>
    <row r="11" spans="1:180" s="61" customFormat="1" x14ac:dyDescent="0.25">
      <c r="A11" s="58"/>
      <c r="B11" s="59">
        <v>1306.55</v>
      </c>
      <c r="C11" s="60"/>
      <c r="D11" s="86" t="s">
        <v>18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</row>
    <row r="12" spans="1:180" s="24" customFormat="1" ht="39.6" x14ac:dyDescent="0.25">
      <c r="A12" s="53" t="s">
        <v>19</v>
      </c>
      <c r="B12" s="56">
        <f>212.43+18631.36+389+10.13+10.06</f>
        <v>19252.980000000003</v>
      </c>
      <c r="C12" s="54" t="s">
        <v>20</v>
      </c>
      <c r="D12" s="85" t="s">
        <v>21</v>
      </c>
    </row>
    <row r="13" spans="1:180" x14ac:dyDescent="0.25">
      <c r="A13" s="55"/>
      <c r="B13" s="57">
        <v>270.87</v>
      </c>
      <c r="C13" s="127"/>
      <c r="D13" s="114" t="s">
        <v>22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</row>
    <row r="14" spans="1:180" x14ac:dyDescent="0.25">
      <c r="A14" s="55"/>
      <c r="B14" s="57">
        <f>4527.95+464.75-1138.52+967.23+174.84</f>
        <v>4996.25</v>
      </c>
      <c r="C14" s="127"/>
      <c r="D14" s="114" t="s">
        <v>23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</row>
    <row r="15" spans="1:180" x14ac:dyDescent="0.25">
      <c r="A15" s="55"/>
      <c r="B15" s="57">
        <f>44.55+68.89</f>
        <v>113.44</v>
      </c>
      <c r="C15" s="127"/>
      <c r="D15" s="114" t="s">
        <v>17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</row>
    <row r="16" spans="1:180" s="64" customFormat="1" x14ac:dyDescent="0.25">
      <c r="A16" s="62"/>
      <c r="B16" s="63">
        <f>45.32+103.74+113.82+79.03+61.12+58.74</f>
        <v>461.77</v>
      </c>
      <c r="C16" s="49"/>
      <c r="D16" s="50" t="s">
        <v>24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</row>
    <row r="17" spans="1:180" ht="26.4" x14ac:dyDescent="0.25">
      <c r="A17" s="90" t="s">
        <v>25</v>
      </c>
      <c r="B17" s="91">
        <f>133.7+7998.89+1300.04</f>
        <v>9432.630000000001</v>
      </c>
      <c r="C17" s="81" t="s">
        <v>26</v>
      </c>
      <c r="D17" s="92" t="s">
        <v>21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</row>
    <row r="18" spans="1:180" x14ac:dyDescent="0.25">
      <c r="A18" s="55"/>
      <c r="B18" s="57">
        <v>1733.76</v>
      </c>
      <c r="C18" s="127"/>
      <c r="D18" s="114" t="s">
        <v>27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</row>
    <row r="19" spans="1:180" x14ac:dyDescent="0.25">
      <c r="A19" s="55"/>
      <c r="B19" s="57">
        <v>51.04</v>
      </c>
      <c r="C19" s="127"/>
      <c r="D19" s="114" t="s">
        <v>17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</row>
    <row r="20" spans="1:180" x14ac:dyDescent="0.25">
      <c r="A20" s="55"/>
      <c r="B20" s="57">
        <v>150</v>
      </c>
      <c r="C20" s="127"/>
      <c r="D20" s="114" t="s">
        <v>28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</row>
    <row r="21" spans="1:180" s="64" customFormat="1" x14ac:dyDescent="0.25">
      <c r="A21" s="62"/>
      <c r="B21" s="63">
        <v>12</v>
      </c>
      <c r="C21" s="49"/>
      <c r="D21" s="50" t="s">
        <v>29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</row>
    <row r="22" spans="1:180" ht="26.4" x14ac:dyDescent="0.25">
      <c r="A22" s="90" t="s">
        <v>30</v>
      </c>
      <c r="B22" s="91">
        <f>27.37+9519.59+106.33</f>
        <v>9653.2900000000009</v>
      </c>
      <c r="C22" s="81" t="s">
        <v>31</v>
      </c>
      <c r="D22" s="92" t="s">
        <v>21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</row>
    <row r="23" spans="1:180" x14ac:dyDescent="0.25">
      <c r="A23" s="55"/>
      <c r="B23" s="57">
        <v>3432.08</v>
      </c>
      <c r="C23" s="127"/>
      <c r="D23" s="114" t="s">
        <v>27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</row>
    <row r="24" spans="1:180" x14ac:dyDescent="0.25">
      <c r="A24" s="55"/>
      <c r="B24" s="57">
        <v>669.63</v>
      </c>
      <c r="C24" s="127"/>
      <c r="D24" s="114" t="s">
        <v>24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</row>
    <row r="25" spans="1:180" s="52" customFormat="1" x14ac:dyDescent="0.25">
      <c r="A25" s="55"/>
      <c r="B25" s="57">
        <v>247.75</v>
      </c>
      <c r="C25" s="127"/>
      <c r="D25" s="114" t="s">
        <v>17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</row>
    <row r="26" spans="1:180" ht="26.4" x14ac:dyDescent="0.25">
      <c r="A26" s="55"/>
      <c r="B26" s="57">
        <v>94.98</v>
      </c>
      <c r="C26" s="127"/>
      <c r="D26" s="114" t="s">
        <v>32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</row>
    <row r="27" spans="1:180" s="64" customFormat="1" x14ac:dyDescent="0.25">
      <c r="A27" s="62"/>
      <c r="B27" s="63">
        <v>55</v>
      </c>
      <c r="C27" s="49"/>
      <c r="D27" s="50" t="s">
        <v>33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</row>
    <row r="28" spans="1:180" ht="19.5" customHeight="1" x14ac:dyDescent="0.25">
      <c r="A28" s="65" t="s">
        <v>34</v>
      </c>
      <c r="B28" s="66">
        <f>SUBTOTAL(109,B9:B27)</f>
        <v>56410.320000000007</v>
      </c>
      <c r="C28" s="128"/>
      <c r="D28" s="10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</row>
    <row r="29" spans="1:180" s="4" customFormat="1" ht="19.5" customHeight="1" x14ac:dyDescent="0.3">
      <c r="A29" s="156" t="s">
        <v>35</v>
      </c>
      <c r="B29" s="157"/>
      <c r="C29" s="157"/>
      <c r="D29" s="87"/>
    </row>
    <row r="30" spans="1:180" s="24" customFormat="1" ht="37.5" customHeight="1" x14ac:dyDescent="0.25">
      <c r="A30" s="22" t="s">
        <v>10</v>
      </c>
      <c r="B30" s="23" t="s">
        <v>11</v>
      </c>
      <c r="C30" s="23" t="s">
        <v>12</v>
      </c>
      <c r="D30" s="84" t="s">
        <v>36</v>
      </c>
    </row>
    <row r="31" spans="1:180" ht="26.4" x14ac:dyDescent="0.25">
      <c r="A31" s="134">
        <v>42572</v>
      </c>
      <c r="B31" s="94">
        <f>222.26+20.7</f>
        <v>242.95999999999998</v>
      </c>
      <c r="C31" s="96" t="s">
        <v>37</v>
      </c>
      <c r="D31" s="95" t="s">
        <v>21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</row>
    <row r="32" spans="1:180" x14ac:dyDescent="0.25">
      <c r="A32" s="134"/>
      <c r="B32" s="94">
        <v>133.65</v>
      </c>
      <c r="C32" s="96"/>
      <c r="D32" s="95" t="s">
        <v>17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</row>
    <row r="33" spans="1:180" s="64" customFormat="1" x14ac:dyDescent="0.25">
      <c r="A33" s="135"/>
      <c r="B33" s="98">
        <v>157.85</v>
      </c>
      <c r="C33" s="99"/>
      <c r="D33" s="100" t="s">
        <v>23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</row>
    <row r="34" spans="1:180" ht="26.4" x14ac:dyDescent="0.25">
      <c r="A34" s="134" t="s">
        <v>38</v>
      </c>
      <c r="B34" s="94">
        <f>648.81+20.7</f>
        <v>669.51</v>
      </c>
      <c r="C34" s="96" t="s">
        <v>39</v>
      </c>
      <c r="D34" s="95" t="s">
        <v>21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</row>
    <row r="35" spans="1:180" x14ac:dyDescent="0.25">
      <c r="A35" s="134"/>
      <c r="B35" s="94">
        <v>313.94</v>
      </c>
      <c r="C35" s="96"/>
      <c r="D35" s="95" t="s">
        <v>22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</row>
    <row r="36" spans="1:180" x14ac:dyDescent="0.25">
      <c r="A36" s="134"/>
      <c r="B36" s="94">
        <v>92.07</v>
      </c>
      <c r="C36" s="96"/>
      <c r="D36" s="95" t="s">
        <v>17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</row>
    <row r="37" spans="1:180" x14ac:dyDescent="0.25">
      <c r="A37" s="134"/>
      <c r="B37" s="94">
        <f>152.9+180</f>
        <v>332.9</v>
      </c>
      <c r="C37" s="96"/>
      <c r="D37" s="95" t="s">
        <v>27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</row>
    <row r="38" spans="1:180" s="64" customFormat="1" x14ac:dyDescent="0.25">
      <c r="A38" s="135"/>
      <c r="B38" s="98">
        <f>71.5+23.2+95.5</f>
        <v>190.2</v>
      </c>
      <c r="C38" s="99"/>
      <c r="D38" s="100" t="s">
        <v>24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</row>
    <row r="39" spans="1:180" ht="26.4" x14ac:dyDescent="0.25">
      <c r="A39" s="134" t="s">
        <v>40</v>
      </c>
      <c r="B39" s="94">
        <f>556.14+20.7</f>
        <v>576.84</v>
      </c>
      <c r="C39" s="96" t="s">
        <v>41</v>
      </c>
      <c r="D39" s="95" t="s">
        <v>21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</row>
    <row r="40" spans="1:180" x14ac:dyDescent="0.25">
      <c r="A40" s="134"/>
      <c r="B40" s="94">
        <f>86.02+116.79</f>
        <v>202.81</v>
      </c>
      <c r="C40" s="96"/>
      <c r="D40" s="95" t="s">
        <v>17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</row>
    <row r="41" spans="1:180" x14ac:dyDescent="0.25">
      <c r="A41" s="134"/>
      <c r="B41" s="94">
        <f>38.5+55.08+18</f>
        <v>111.58</v>
      </c>
      <c r="C41" s="96"/>
      <c r="D41" s="95" t="s">
        <v>24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</row>
    <row r="42" spans="1:180" s="64" customFormat="1" x14ac:dyDescent="0.25">
      <c r="A42" s="135"/>
      <c r="B42" s="98">
        <v>126</v>
      </c>
      <c r="C42" s="99"/>
      <c r="D42" s="100" t="s">
        <v>42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</row>
    <row r="43" spans="1:180" ht="26.4" x14ac:dyDescent="0.25">
      <c r="A43" s="134" t="s">
        <v>43</v>
      </c>
      <c r="B43" s="94">
        <f>550.95+20.7</f>
        <v>571.65000000000009</v>
      </c>
      <c r="C43" s="96" t="s">
        <v>44</v>
      </c>
      <c r="D43" s="95" t="s">
        <v>21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</row>
    <row r="44" spans="1:180" x14ac:dyDescent="0.25">
      <c r="A44" s="134"/>
      <c r="B44" s="94">
        <v>124.44</v>
      </c>
      <c r="C44" s="96"/>
      <c r="D44" s="95" t="s">
        <v>22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</row>
    <row r="45" spans="1:180" x14ac:dyDescent="0.25">
      <c r="A45" s="134"/>
      <c r="B45" s="94">
        <v>169.12</v>
      </c>
      <c r="C45" s="96"/>
      <c r="D45" s="95" t="s">
        <v>27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</row>
    <row r="46" spans="1:180" s="64" customFormat="1" x14ac:dyDescent="0.25">
      <c r="A46" s="135"/>
      <c r="B46" s="98">
        <v>46</v>
      </c>
      <c r="C46" s="99"/>
      <c r="D46" s="100" t="s">
        <v>45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8"/>
      <c r="FO46" s="128"/>
      <c r="FP46" s="128"/>
      <c r="FQ46" s="128"/>
      <c r="FR46" s="128"/>
      <c r="FS46" s="128"/>
      <c r="FT46" s="128"/>
      <c r="FU46" s="128"/>
      <c r="FV46" s="128"/>
      <c r="FW46" s="128"/>
      <c r="FX46" s="128"/>
    </row>
    <row r="47" spans="1:180" ht="26.4" x14ac:dyDescent="0.25">
      <c r="A47" s="134">
        <v>42629</v>
      </c>
      <c r="B47" s="94">
        <f>479.59+9.2</f>
        <v>488.78999999999996</v>
      </c>
      <c r="C47" s="96" t="s">
        <v>46</v>
      </c>
      <c r="D47" s="95" t="s">
        <v>21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  <c r="FM47" s="128"/>
      <c r="FN47" s="128"/>
      <c r="FO47" s="128"/>
      <c r="FP47" s="128"/>
      <c r="FQ47" s="128"/>
      <c r="FR47" s="128"/>
      <c r="FS47" s="128"/>
      <c r="FT47" s="128"/>
      <c r="FU47" s="128"/>
      <c r="FV47" s="128"/>
      <c r="FW47" s="128"/>
      <c r="FX47" s="128"/>
    </row>
    <row r="48" spans="1:180" x14ac:dyDescent="0.25">
      <c r="A48" s="134"/>
      <c r="B48" s="94">
        <v>92.62</v>
      </c>
      <c r="C48" s="96"/>
      <c r="D48" s="95" t="s">
        <v>17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128"/>
      <c r="FW48" s="128"/>
      <c r="FX48" s="128"/>
    </row>
    <row r="49" spans="1:180" s="64" customFormat="1" x14ac:dyDescent="0.25">
      <c r="A49" s="135"/>
      <c r="B49" s="98">
        <v>46</v>
      </c>
      <c r="C49" s="99"/>
      <c r="D49" s="100" t="s">
        <v>45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</row>
    <row r="50" spans="1:180" ht="26.4" x14ac:dyDescent="0.25">
      <c r="A50" s="134" t="s">
        <v>47</v>
      </c>
      <c r="B50" s="94">
        <f>472.1+27.03</f>
        <v>499.13</v>
      </c>
      <c r="C50" s="96" t="s">
        <v>48</v>
      </c>
      <c r="D50" s="95" t="s">
        <v>21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128"/>
      <c r="FW50" s="128"/>
      <c r="FX50" s="128"/>
    </row>
    <row r="51" spans="1:180" x14ac:dyDescent="0.25">
      <c r="A51" s="134"/>
      <c r="B51" s="94">
        <v>185.25</v>
      </c>
      <c r="C51" s="96"/>
      <c r="D51" s="95" t="s">
        <v>27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128"/>
      <c r="FW51" s="128"/>
      <c r="FX51" s="128"/>
    </row>
    <row r="52" spans="1:180" s="64" customFormat="1" x14ac:dyDescent="0.25">
      <c r="A52" s="135"/>
      <c r="B52" s="98">
        <v>72</v>
      </c>
      <c r="C52" s="99"/>
      <c r="D52" s="100" t="s">
        <v>45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</row>
    <row r="53" spans="1:180" ht="26.4" x14ac:dyDescent="0.25">
      <c r="A53" s="134" t="s">
        <v>49</v>
      </c>
      <c r="B53" s="94">
        <f>531.54+30.49</f>
        <v>562.03</v>
      </c>
      <c r="C53" s="96" t="s">
        <v>50</v>
      </c>
      <c r="D53" s="95" t="s">
        <v>21</v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</row>
    <row r="54" spans="1:180" x14ac:dyDescent="0.25">
      <c r="A54" s="134"/>
      <c r="B54" s="94">
        <v>214.28</v>
      </c>
      <c r="C54" s="96"/>
      <c r="D54" s="95" t="s">
        <v>17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</row>
    <row r="55" spans="1:180" x14ac:dyDescent="0.25">
      <c r="A55" s="134"/>
      <c r="B55" s="94">
        <v>270.01</v>
      </c>
      <c r="C55" s="96"/>
      <c r="D55" s="95" t="s">
        <v>27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</row>
    <row r="56" spans="1:180" x14ac:dyDescent="0.25">
      <c r="A56" s="134"/>
      <c r="B56" s="94">
        <v>58</v>
      </c>
      <c r="C56" s="96"/>
      <c r="D56" s="95" t="s">
        <v>24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</row>
    <row r="57" spans="1:180" s="64" customFormat="1" x14ac:dyDescent="0.25">
      <c r="A57" s="135"/>
      <c r="B57" s="98">
        <v>56</v>
      </c>
      <c r="C57" s="99"/>
      <c r="D57" s="100" t="s">
        <v>45</v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</row>
    <row r="58" spans="1:180" ht="26.4" x14ac:dyDescent="0.25">
      <c r="A58" s="134" t="s">
        <v>51</v>
      </c>
      <c r="B58" s="94">
        <f>515.85+43.15</f>
        <v>559</v>
      </c>
      <c r="C58" s="96" t="s">
        <v>52</v>
      </c>
      <c r="D58" s="95" t="s">
        <v>21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</row>
    <row r="59" spans="1:180" x14ac:dyDescent="0.25">
      <c r="A59" s="134"/>
      <c r="B59" s="94">
        <v>122.76</v>
      </c>
      <c r="C59" s="96"/>
      <c r="D59" s="95" t="s">
        <v>17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</row>
    <row r="60" spans="1:180" ht="26.4" x14ac:dyDescent="0.25">
      <c r="A60" s="134"/>
      <c r="B60" s="94">
        <v>608</v>
      </c>
      <c r="C60" s="96"/>
      <c r="D60" s="95" t="s">
        <v>53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</row>
    <row r="61" spans="1:180" x14ac:dyDescent="0.25">
      <c r="A61" s="134"/>
      <c r="B61" s="94">
        <f>13.6+46.4</f>
        <v>60</v>
      </c>
      <c r="C61" s="96"/>
      <c r="D61" s="95" t="s">
        <v>24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</row>
    <row r="62" spans="1:180" s="64" customFormat="1" x14ac:dyDescent="0.25">
      <c r="A62" s="135"/>
      <c r="B62" s="98">
        <v>92</v>
      </c>
      <c r="C62" s="99"/>
      <c r="D62" s="100" t="s">
        <v>45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</row>
    <row r="63" spans="1:180" ht="26.4" x14ac:dyDescent="0.25">
      <c r="A63" s="134">
        <v>42658</v>
      </c>
      <c r="B63" s="94">
        <f>490.5+17.25</f>
        <v>507.75</v>
      </c>
      <c r="C63" s="96" t="s">
        <v>54</v>
      </c>
      <c r="D63" s="95" t="s">
        <v>21</v>
      </c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</row>
    <row r="64" spans="1:180" x14ac:dyDescent="0.25">
      <c r="A64" s="134"/>
      <c r="B64" s="94">
        <v>96.03</v>
      </c>
      <c r="C64" s="96"/>
      <c r="D64" s="95" t="s">
        <v>22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</row>
    <row r="65" spans="1:180" x14ac:dyDescent="0.25">
      <c r="A65" s="134"/>
      <c r="B65" s="94">
        <v>7.02</v>
      </c>
      <c r="C65" s="96"/>
      <c r="D65" s="95" t="s">
        <v>55</v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</row>
    <row r="66" spans="1:180" s="64" customFormat="1" x14ac:dyDescent="0.25">
      <c r="A66" s="135"/>
      <c r="B66" s="98">
        <v>46</v>
      </c>
      <c r="C66" s="99"/>
      <c r="D66" s="100" t="s">
        <v>45</v>
      </c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</row>
    <row r="67" spans="1:180" ht="26.4" x14ac:dyDescent="0.25">
      <c r="A67" s="134" t="s">
        <v>56</v>
      </c>
      <c r="B67" s="94">
        <f>500.33+28.75</f>
        <v>529.07999999999993</v>
      </c>
      <c r="C67" s="96" t="s">
        <v>57</v>
      </c>
      <c r="D67" s="95" t="s">
        <v>21</v>
      </c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8"/>
      <c r="FX67" s="128"/>
    </row>
    <row r="68" spans="1:180" x14ac:dyDescent="0.25">
      <c r="A68" s="134"/>
      <c r="B68" s="94">
        <v>58.88</v>
      </c>
      <c r="C68" s="96"/>
      <c r="D68" s="95" t="s">
        <v>22</v>
      </c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  <c r="FO68" s="128"/>
      <c r="FP68" s="128"/>
      <c r="FQ68" s="128"/>
      <c r="FR68" s="128"/>
      <c r="FS68" s="128"/>
      <c r="FT68" s="128"/>
      <c r="FU68" s="128"/>
      <c r="FV68" s="128"/>
      <c r="FW68" s="128"/>
      <c r="FX68" s="128"/>
    </row>
    <row r="69" spans="1:180" x14ac:dyDescent="0.25">
      <c r="A69" s="134"/>
      <c r="B69" s="94">
        <v>18</v>
      </c>
      <c r="C69" s="96"/>
      <c r="D69" s="95" t="s">
        <v>58</v>
      </c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8"/>
      <c r="FP69" s="128"/>
      <c r="FQ69" s="128"/>
      <c r="FR69" s="128"/>
      <c r="FS69" s="128"/>
      <c r="FT69" s="128"/>
      <c r="FU69" s="128"/>
      <c r="FV69" s="128"/>
      <c r="FW69" s="128"/>
      <c r="FX69" s="128"/>
    </row>
    <row r="70" spans="1:180" s="64" customFormat="1" x14ac:dyDescent="0.25">
      <c r="A70" s="135"/>
      <c r="B70" s="98">
        <f>46+8.5</f>
        <v>54.5</v>
      </c>
      <c r="C70" s="99"/>
      <c r="D70" s="100" t="s">
        <v>42</v>
      </c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8"/>
      <c r="FX70" s="128"/>
    </row>
    <row r="71" spans="1:180" x14ac:dyDescent="0.25">
      <c r="A71" s="134">
        <v>42717</v>
      </c>
      <c r="B71" s="94">
        <f>377.29+28.75</f>
        <v>406.04</v>
      </c>
      <c r="C71" s="96" t="s">
        <v>59</v>
      </c>
      <c r="D71" s="95" t="s">
        <v>21</v>
      </c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</row>
    <row r="72" spans="1:180" x14ac:dyDescent="0.25">
      <c r="A72" s="134"/>
      <c r="B72" s="94">
        <v>96.03</v>
      </c>
      <c r="C72" s="96"/>
      <c r="D72" s="95" t="s">
        <v>22</v>
      </c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X72" s="128"/>
    </row>
    <row r="73" spans="1:180" s="64" customFormat="1" x14ac:dyDescent="0.25">
      <c r="A73" s="135"/>
      <c r="B73" s="98">
        <f>30.6+46</f>
        <v>76.599999999999994</v>
      </c>
      <c r="C73" s="99"/>
      <c r="D73" s="100" t="s">
        <v>42</v>
      </c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128"/>
    </row>
    <row r="74" spans="1:180" s="68" customFormat="1" x14ac:dyDescent="0.25">
      <c r="A74" s="136">
        <v>42722</v>
      </c>
      <c r="B74" s="101">
        <f>111+9.2</f>
        <v>120.2</v>
      </c>
      <c r="C74" s="102" t="s">
        <v>60</v>
      </c>
      <c r="D74" s="103" t="s">
        <v>21</v>
      </c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X74" s="128"/>
    </row>
    <row r="75" spans="1:180" x14ac:dyDescent="0.25">
      <c r="A75" s="134">
        <v>42724</v>
      </c>
      <c r="B75" s="94">
        <f>509.63+9.2</f>
        <v>518.83000000000004</v>
      </c>
      <c r="C75" s="96" t="s">
        <v>61</v>
      </c>
      <c r="D75" s="95" t="s">
        <v>21</v>
      </c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</row>
    <row r="76" spans="1:180" s="64" customFormat="1" x14ac:dyDescent="0.25">
      <c r="A76" s="135"/>
      <c r="B76" s="98">
        <v>46</v>
      </c>
      <c r="C76" s="99"/>
      <c r="D76" s="100" t="s">
        <v>45</v>
      </c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</row>
    <row r="77" spans="1:180" ht="26.4" x14ac:dyDescent="0.25">
      <c r="A77" s="134" t="s">
        <v>62</v>
      </c>
      <c r="B77" s="94">
        <f>497.54+9.2</f>
        <v>506.74</v>
      </c>
      <c r="C77" s="96" t="s">
        <v>63</v>
      </c>
      <c r="D77" s="95" t="s">
        <v>21</v>
      </c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  <c r="FL77" s="128"/>
      <c r="FM77" s="128"/>
      <c r="FN77" s="128"/>
      <c r="FO77" s="128"/>
      <c r="FP77" s="128"/>
      <c r="FQ77" s="128"/>
      <c r="FR77" s="128"/>
      <c r="FS77" s="128"/>
      <c r="FT77" s="128"/>
      <c r="FU77" s="128"/>
      <c r="FV77" s="128"/>
      <c r="FW77" s="128"/>
      <c r="FX77" s="128"/>
    </row>
    <row r="78" spans="1:180" x14ac:dyDescent="0.25">
      <c r="A78" s="134"/>
      <c r="B78" s="94">
        <v>152.9</v>
      </c>
      <c r="C78" s="96"/>
      <c r="D78" s="95" t="s">
        <v>27</v>
      </c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</row>
    <row r="79" spans="1:180" x14ac:dyDescent="0.25">
      <c r="A79" s="134"/>
      <c r="B79" s="94">
        <f>62.6+54.2+18.7</f>
        <v>135.5</v>
      </c>
      <c r="C79" s="96"/>
      <c r="D79" s="95" t="s">
        <v>24</v>
      </c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8"/>
      <c r="FX79" s="128"/>
    </row>
    <row r="80" spans="1:180" s="64" customFormat="1" x14ac:dyDescent="0.25">
      <c r="A80" s="135"/>
      <c r="B80" s="98">
        <v>98</v>
      </c>
      <c r="C80" s="99"/>
      <c r="D80" s="100" t="s">
        <v>45</v>
      </c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</row>
    <row r="81" spans="1:180" ht="26.4" x14ac:dyDescent="0.25">
      <c r="A81" s="134" t="s">
        <v>64</v>
      </c>
      <c r="B81" s="94">
        <f>230.83+9.2+266.24+23+8.05</f>
        <v>537.31999999999994</v>
      </c>
      <c r="C81" s="96" t="s">
        <v>65</v>
      </c>
      <c r="D81" s="95" t="s">
        <v>21</v>
      </c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</row>
    <row r="82" spans="1:180" x14ac:dyDescent="0.25">
      <c r="A82" s="134"/>
      <c r="B82" s="94">
        <v>875.5</v>
      </c>
      <c r="C82" s="96"/>
      <c r="D82" s="95" t="s">
        <v>18</v>
      </c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</row>
    <row r="83" spans="1:180" x14ac:dyDescent="0.25">
      <c r="A83" s="134"/>
      <c r="B83" s="94">
        <v>258.18</v>
      </c>
      <c r="C83" s="96"/>
      <c r="D83" s="95" t="s">
        <v>22</v>
      </c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</row>
    <row r="84" spans="1:180" x14ac:dyDescent="0.25">
      <c r="A84" s="134"/>
      <c r="B84" s="94">
        <f>51.5+19+33</f>
        <v>103.5</v>
      </c>
      <c r="C84" s="96"/>
      <c r="D84" s="95" t="s">
        <v>24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</row>
    <row r="85" spans="1:180" s="64" customFormat="1" x14ac:dyDescent="0.25">
      <c r="A85" s="135"/>
      <c r="B85" s="98">
        <f>40.5+8+20.6+75.6+170</f>
        <v>314.7</v>
      </c>
      <c r="C85" s="99"/>
      <c r="D85" s="100" t="s">
        <v>42</v>
      </c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</row>
    <row r="86" spans="1:180" s="68" customFormat="1" ht="12.75" customHeight="1" x14ac:dyDescent="0.25">
      <c r="A86" s="137">
        <v>42803</v>
      </c>
      <c r="B86" s="104">
        <v>9.1999999999999993</v>
      </c>
      <c r="C86" s="102" t="s">
        <v>66</v>
      </c>
      <c r="D86" s="103" t="s">
        <v>67</v>
      </c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</row>
    <row r="87" spans="1:180" ht="26.4" x14ac:dyDescent="0.25">
      <c r="A87" s="134" t="s">
        <v>68</v>
      </c>
      <c r="B87" s="94">
        <f>32.2+448.47</f>
        <v>480.67</v>
      </c>
      <c r="C87" s="96" t="s">
        <v>69</v>
      </c>
      <c r="D87" s="95" t="s">
        <v>21</v>
      </c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</row>
    <row r="88" spans="1:180" x14ac:dyDescent="0.25">
      <c r="A88" s="134"/>
      <c r="B88" s="94">
        <f>8.05+117.76</f>
        <v>125.81</v>
      </c>
      <c r="C88" s="96"/>
      <c r="D88" s="95" t="s">
        <v>22</v>
      </c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</row>
    <row r="89" spans="1:180" x14ac:dyDescent="0.25">
      <c r="A89" s="134"/>
      <c r="B89" s="94">
        <v>104.06</v>
      </c>
      <c r="C89" s="96"/>
      <c r="D89" s="95" t="s">
        <v>17</v>
      </c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</row>
    <row r="90" spans="1:180" x14ac:dyDescent="0.25">
      <c r="A90" s="134"/>
      <c r="B90" s="94">
        <v>143.75</v>
      </c>
      <c r="C90" s="96"/>
      <c r="D90" s="95" t="s">
        <v>27</v>
      </c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</row>
    <row r="91" spans="1:180" x14ac:dyDescent="0.25">
      <c r="A91" s="134"/>
      <c r="B91" s="94">
        <f>40.5+20+31.5+82+26.4</f>
        <v>200.4</v>
      </c>
      <c r="C91" s="96"/>
      <c r="D91" s="95" t="s">
        <v>24</v>
      </c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</row>
    <row r="92" spans="1:180" s="64" customFormat="1" x14ac:dyDescent="0.25">
      <c r="A92" s="135"/>
      <c r="B92" s="98">
        <v>16.600000000000001</v>
      </c>
      <c r="C92" s="99"/>
      <c r="D92" s="100" t="s">
        <v>42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</row>
    <row r="93" spans="1:180" ht="26.4" x14ac:dyDescent="0.25">
      <c r="A93" s="134">
        <v>42843</v>
      </c>
      <c r="B93" s="94">
        <f>9.2+493.02</f>
        <v>502.21999999999997</v>
      </c>
      <c r="C93" s="96" t="s">
        <v>70</v>
      </c>
      <c r="D93" s="95" t="s">
        <v>21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</row>
    <row r="94" spans="1:180" s="64" customFormat="1" x14ac:dyDescent="0.25">
      <c r="A94" s="135"/>
      <c r="B94" s="98">
        <f>80.08+90.6</f>
        <v>170.68</v>
      </c>
      <c r="C94" s="99"/>
      <c r="D94" s="100" t="s">
        <v>17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</row>
    <row r="95" spans="1:180" x14ac:dyDescent="0.25">
      <c r="A95" s="134" t="s">
        <v>71</v>
      </c>
      <c r="B95" s="94">
        <f>9.2+459.34+11.5+162.86</f>
        <v>642.9</v>
      </c>
      <c r="C95" s="96" t="s">
        <v>72</v>
      </c>
      <c r="D95" s="95" t="s">
        <v>21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</row>
    <row r="96" spans="1:180" x14ac:dyDescent="0.25">
      <c r="A96" s="134"/>
      <c r="B96" s="94">
        <v>131.78</v>
      </c>
      <c r="C96" s="96"/>
      <c r="D96" s="95" t="s">
        <v>17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</row>
    <row r="97" spans="1:180" x14ac:dyDescent="0.25">
      <c r="A97" s="134"/>
      <c r="B97" s="94">
        <f>50.5+27.6</f>
        <v>78.099999999999994</v>
      </c>
      <c r="C97" s="96"/>
      <c r="D97" s="95" t="s">
        <v>24</v>
      </c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8"/>
    </row>
    <row r="98" spans="1:180" s="64" customFormat="1" x14ac:dyDescent="0.25">
      <c r="A98" s="135"/>
      <c r="B98" s="98">
        <v>85</v>
      </c>
      <c r="C98" s="99"/>
      <c r="D98" s="100" t="s">
        <v>45</v>
      </c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</row>
    <row r="99" spans="1:180" s="68" customFormat="1" ht="26.4" x14ac:dyDescent="0.25">
      <c r="A99" s="136">
        <v>42844</v>
      </c>
      <c r="B99" s="101">
        <v>265.60000000000002</v>
      </c>
      <c r="C99" s="102" t="s">
        <v>73</v>
      </c>
      <c r="D99" s="103" t="s">
        <v>21</v>
      </c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</row>
    <row r="100" spans="1:180" ht="26.4" x14ac:dyDescent="0.25">
      <c r="A100" s="134" t="s">
        <v>74</v>
      </c>
      <c r="B100" s="94">
        <f>20.7+374.21</f>
        <v>394.90999999999997</v>
      </c>
      <c r="C100" s="96" t="s">
        <v>75</v>
      </c>
      <c r="D100" s="95" t="s">
        <v>21</v>
      </c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</row>
    <row r="101" spans="1:180" x14ac:dyDescent="0.25">
      <c r="A101" s="134"/>
      <c r="B101" s="94">
        <v>355.13</v>
      </c>
      <c r="C101" s="96"/>
      <c r="D101" s="95" t="s">
        <v>18</v>
      </c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</row>
    <row r="102" spans="1:180" x14ac:dyDescent="0.25">
      <c r="A102" s="134"/>
      <c r="B102" s="94">
        <f>88.44+18</f>
        <v>106.44</v>
      </c>
      <c r="C102" s="96"/>
      <c r="D102" s="95" t="s">
        <v>17</v>
      </c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8"/>
      <c r="FW102" s="128"/>
      <c r="FX102" s="128"/>
    </row>
    <row r="103" spans="1:180" x14ac:dyDescent="0.25">
      <c r="A103" s="134"/>
      <c r="B103" s="94">
        <f>10+13.9</f>
        <v>23.9</v>
      </c>
      <c r="C103" s="96"/>
      <c r="D103" s="95" t="s">
        <v>24</v>
      </c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</row>
    <row r="104" spans="1:180" s="64" customFormat="1" x14ac:dyDescent="0.25">
      <c r="A104" s="135"/>
      <c r="B104" s="98">
        <v>98</v>
      </c>
      <c r="C104" s="99"/>
      <c r="D104" s="100" t="s">
        <v>45</v>
      </c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</row>
    <row r="105" spans="1:180" ht="26.4" x14ac:dyDescent="0.25">
      <c r="A105" s="134">
        <v>42866</v>
      </c>
      <c r="B105" s="94">
        <f>9.2+473.2</f>
        <v>482.4</v>
      </c>
      <c r="C105" s="96" t="s">
        <v>76</v>
      </c>
      <c r="D105" s="95" t="s">
        <v>21</v>
      </c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</row>
    <row r="106" spans="1:180" x14ac:dyDescent="0.25">
      <c r="A106" s="134"/>
      <c r="B106" s="94">
        <v>18.5</v>
      </c>
      <c r="C106" s="96"/>
      <c r="D106" s="95" t="s">
        <v>58</v>
      </c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128"/>
    </row>
    <row r="107" spans="1:180" s="64" customFormat="1" x14ac:dyDescent="0.25">
      <c r="A107" s="135"/>
      <c r="B107" s="98">
        <v>49</v>
      </c>
      <c r="C107" s="99"/>
      <c r="D107" s="100" t="s">
        <v>45</v>
      </c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  <c r="FO107" s="128"/>
      <c r="FP107" s="128"/>
      <c r="FQ107" s="128"/>
      <c r="FR107" s="128"/>
      <c r="FS107" s="128"/>
      <c r="FT107" s="128"/>
      <c r="FU107" s="128"/>
      <c r="FV107" s="128"/>
      <c r="FW107" s="128"/>
      <c r="FX107" s="128"/>
    </row>
    <row r="108" spans="1:180" ht="26.4" x14ac:dyDescent="0.25">
      <c r="A108" s="134">
        <v>42900</v>
      </c>
      <c r="B108" s="94">
        <f>9.2+413.8</f>
        <v>423</v>
      </c>
      <c r="C108" s="96" t="s">
        <v>77</v>
      </c>
      <c r="D108" s="95" t="s">
        <v>21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</row>
    <row r="109" spans="1:180" x14ac:dyDescent="0.25">
      <c r="A109" s="134"/>
      <c r="B109" s="94">
        <v>147.4</v>
      </c>
      <c r="C109" s="96"/>
      <c r="D109" s="95" t="s">
        <v>17</v>
      </c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</row>
    <row r="110" spans="1:180" s="64" customFormat="1" x14ac:dyDescent="0.25">
      <c r="A110" s="135"/>
      <c r="B110" s="98">
        <v>39</v>
      </c>
      <c r="C110" s="99"/>
      <c r="D110" s="100" t="s">
        <v>45</v>
      </c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  <c r="FQ110" s="128"/>
      <c r="FR110" s="128"/>
      <c r="FS110" s="128"/>
      <c r="FT110" s="128"/>
      <c r="FU110" s="128"/>
      <c r="FV110" s="128"/>
      <c r="FW110" s="128"/>
      <c r="FX110" s="128"/>
    </row>
    <row r="111" spans="1:180" ht="26.4" x14ac:dyDescent="0.25">
      <c r="A111" s="134" t="s">
        <v>78</v>
      </c>
      <c r="B111" s="94">
        <f>51.75+750.4</f>
        <v>802.15</v>
      </c>
      <c r="C111" s="96" t="s">
        <v>79</v>
      </c>
      <c r="D111" s="95" t="s">
        <v>21</v>
      </c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  <c r="FW111" s="128"/>
      <c r="FX111" s="128"/>
    </row>
    <row r="112" spans="1:180" x14ac:dyDescent="0.25">
      <c r="A112" s="134"/>
      <c r="B112" s="94">
        <v>203</v>
      </c>
      <c r="C112" s="96"/>
      <c r="D112" s="95" t="s">
        <v>27</v>
      </c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  <c r="FQ112" s="128"/>
      <c r="FR112" s="128"/>
      <c r="FS112" s="128"/>
      <c r="FT112" s="128"/>
      <c r="FU112" s="128"/>
      <c r="FV112" s="128"/>
      <c r="FW112" s="128"/>
      <c r="FX112" s="128"/>
    </row>
    <row r="113" spans="1:180" x14ac:dyDescent="0.25">
      <c r="A113" s="134"/>
      <c r="B113" s="94">
        <v>61.18</v>
      </c>
      <c r="C113" s="96"/>
      <c r="D113" s="95" t="s">
        <v>22</v>
      </c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  <c r="FL113" s="128"/>
      <c r="FM113" s="128"/>
      <c r="FN113" s="128"/>
      <c r="FO113" s="128"/>
      <c r="FP113" s="128"/>
      <c r="FQ113" s="128"/>
      <c r="FR113" s="128"/>
      <c r="FS113" s="128"/>
      <c r="FT113" s="128"/>
      <c r="FU113" s="128"/>
      <c r="FV113" s="128"/>
      <c r="FW113" s="128"/>
      <c r="FX113" s="128"/>
    </row>
    <row r="114" spans="1:180" x14ac:dyDescent="0.25">
      <c r="A114" s="134"/>
      <c r="B114" s="94">
        <v>24.07</v>
      </c>
      <c r="C114" s="96"/>
      <c r="D114" s="95" t="s">
        <v>80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  <c r="FL114" s="128"/>
      <c r="FM114" s="128"/>
      <c r="FN114" s="128"/>
      <c r="FO114" s="128"/>
      <c r="FP114" s="128"/>
      <c r="FQ114" s="128"/>
      <c r="FR114" s="128"/>
      <c r="FS114" s="128"/>
      <c r="FT114" s="128"/>
      <c r="FU114" s="128"/>
      <c r="FV114" s="128"/>
      <c r="FW114" s="128"/>
      <c r="FX114" s="128"/>
    </row>
    <row r="115" spans="1:180" s="64" customFormat="1" x14ac:dyDescent="0.25">
      <c r="A115" s="135"/>
      <c r="B115" s="98">
        <f>5+49+50.6</f>
        <v>104.6</v>
      </c>
      <c r="C115" s="99"/>
      <c r="D115" s="100" t="s">
        <v>42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</row>
    <row r="116" spans="1:180" x14ac:dyDescent="0.25">
      <c r="A116" s="134">
        <v>42906</v>
      </c>
      <c r="B116" s="94">
        <f>18.4+344.5</f>
        <v>362.9</v>
      </c>
      <c r="C116" s="96" t="s">
        <v>81</v>
      </c>
      <c r="D116" s="95" t="s">
        <v>21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/>
      <c r="FP116" s="128"/>
      <c r="FQ116" s="128"/>
      <c r="FR116" s="128"/>
      <c r="FS116" s="128"/>
      <c r="FT116" s="128"/>
      <c r="FU116" s="128"/>
      <c r="FV116" s="128"/>
      <c r="FW116" s="128"/>
      <c r="FX116" s="128"/>
    </row>
    <row r="117" spans="1:180" x14ac:dyDescent="0.25">
      <c r="A117" s="134"/>
      <c r="B117" s="94">
        <v>139.68</v>
      </c>
      <c r="C117" s="96"/>
      <c r="D117" s="95" t="s">
        <v>22</v>
      </c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</row>
    <row r="118" spans="1:180" s="64" customFormat="1" x14ac:dyDescent="0.25">
      <c r="A118" s="135"/>
      <c r="B118" s="98">
        <v>49</v>
      </c>
      <c r="C118" s="99"/>
      <c r="D118" s="100" t="s">
        <v>45</v>
      </c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128"/>
    </row>
    <row r="119" spans="1:180" ht="26.4" x14ac:dyDescent="0.25">
      <c r="A119" s="134">
        <v>42908</v>
      </c>
      <c r="B119" s="94">
        <f>20.7+291.55</f>
        <v>312.25</v>
      </c>
      <c r="C119" s="96" t="s">
        <v>82</v>
      </c>
      <c r="D119" s="95" t="s">
        <v>21</v>
      </c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  <c r="FL119" s="128"/>
      <c r="FM119" s="128"/>
      <c r="FN119" s="128"/>
      <c r="FO119" s="128"/>
      <c r="FP119" s="128"/>
      <c r="FQ119" s="128"/>
      <c r="FR119" s="128"/>
      <c r="FS119" s="128"/>
      <c r="FT119" s="128"/>
      <c r="FU119" s="128"/>
      <c r="FV119" s="128"/>
      <c r="FW119" s="128"/>
      <c r="FX119" s="128"/>
    </row>
    <row r="120" spans="1:180" x14ac:dyDescent="0.25">
      <c r="A120" s="134"/>
      <c r="B120" s="94">
        <v>39.93</v>
      </c>
      <c r="C120" s="96"/>
      <c r="D120" s="95" t="s">
        <v>17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  <c r="FO120" s="128"/>
      <c r="FP120" s="128"/>
      <c r="FQ120" s="128"/>
      <c r="FR120" s="128"/>
      <c r="FS120" s="128"/>
      <c r="FT120" s="128"/>
      <c r="FU120" s="128"/>
      <c r="FV120" s="128"/>
      <c r="FW120" s="128"/>
      <c r="FX120" s="128"/>
    </row>
    <row r="121" spans="1:180" s="64" customFormat="1" x14ac:dyDescent="0.25">
      <c r="A121" s="135"/>
      <c r="B121" s="98">
        <v>49</v>
      </c>
      <c r="C121" s="99"/>
      <c r="D121" s="100" t="s">
        <v>45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  <c r="FL121" s="128"/>
      <c r="FM121" s="128"/>
      <c r="FN121" s="128"/>
      <c r="FO121" s="128"/>
      <c r="FP121" s="128"/>
      <c r="FQ121" s="128"/>
      <c r="FR121" s="128"/>
      <c r="FS121" s="128"/>
      <c r="FT121" s="128"/>
      <c r="FU121" s="128"/>
      <c r="FV121" s="128"/>
      <c r="FW121" s="128"/>
      <c r="FX121" s="128"/>
    </row>
    <row r="122" spans="1:180" ht="26.4" x14ac:dyDescent="0.25">
      <c r="A122" s="134">
        <v>42909</v>
      </c>
      <c r="B122" s="94">
        <f>9.2+195.99</f>
        <v>205.19</v>
      </c>
      <c r="C122" s="96" t="s">
        <v>83</v>
      </c>
      <c r="D122" s="95" t="s">
        <v>21</v>
      </c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  <c r="FO122" s="128"/>
      <c r="FP122" s="128"/>
      <c r="FQ122" s="128"/>
      <c r="FR122" s="128"/>
      <c r="FS122" s="128"/>
      <c r="FT122" s="128"/>
      <c r="FU122" s="128"/>
      <c r="FV122" s="128"/>
      <c r="FW122" s="128"/>
      <c r="FX122" s="128"/>
    </row>
    <row r="123" spans="1:180" ht="12.6" customHeight="1" x14ac:dyDescent="0.25">
      <c r="A123" s="134"/>
      <c r="B123" s="94">
        <v>81.739999999999995</v>
      </c>
      <c r="C123" s="96"/>
      <c r="D123" s="95" t="s">
        <v>22</v>
      </c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128"/>
      <c r="FW123" s="128"/>
      <c r="FX123" s="128"/>
    </row>
    <row r="124" spans="1:180" s="64" customFormat="1" ht="12.6" customHeight="1" x14ac:dyDescent="0.25">
      <c r="A124" s="135"/>
      <c r="B124" s="98">
        <f>20+49</f>
        <v>69</v>
      </c>
      <c r="C124" s="99"/>
      <c r="D124" s="100" t="s">
        <v>42</v>
      </c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8"/>
      <c r="ES124" s="128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</row>
    <row r="125" spans="1:180" ht="11.25" customHeight="1" x14ac:dyDescent="0.25">
      <c r="A125" s="134">
        <v>42912</v>
      </c>
      <c r="B125" s="94">
        <f>9.2+334.6</f>
        <v>343.8</v>
      </c>
      <c r="C125" s="96" t="s">
        <v>84</v>
      </c>
      <c r="D125" s="95" t="s">
        <v>21</v>
      </c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</row>
    <row r="126" spans="1:180" s="64" customFormat="1" ht="12.6" customHeight="1" x14ac:dyDescent="0.25">
      <c r="A126" s="135"/>
      <c r="B126" s="98">
        <v>246.62</v>
      </c>
      <c r="C126" s="99"/>
      <c r="D126" s="100" t="s">
        <v>17</v>
      </c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28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</row>
    <row r="127" spans="1:180" ht="12.6" customHeight="1" x14ac:dyDescent="0.25">
      <c r="A127" s="134">
        <v>42913</v>
      </c>
      <c r="B127" s="94">
        <f>9.2+455.4</f>
        <v>464.59999999999997</v>
      </c>
      <c r="C127" s="96" t="s">
        <v>85</v>
      </c>
      <c r="D127" s="95" t="s">
        <v>21</v>
      </c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  <c r="ET127" s="128"/>
      <c r="EU127" s="128"/>
      <c r="EV127" s="128"/>
      <c r="EW127" s="128"/>
      <c r="EX127" s="128"/>
      <c r="EY127" s="128"/>
      <c r="EZ127" s="128"/>
      <c r="FA127" s="128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</row>
    <row r="128" spans="1:180" ht="12.6" customHeight="1" x14ac:dyDescent="0.25">
      <c r="A128" s="134"/>
      <c r="B128" s="94">
        <v>51.26</v>
      </c>
      <c r="C128" s="96"/>
      <c r="D128" s="95" t="s">
        <v>17</v>
      </c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  <c r="EO128" s="128"/>
      <c r="EP128" s="128"/>
      <c r="EQ128" s="128"/>
      <c r="ER128" s="128"/>
      <c r="ES128" s="128"/>
      <c r="ET128" s="128"/>
      <c r="EU128" s="128"/>
      <c r="EV128" s="128"/>
      <c r="EW128" s="128"/>
      <c r="EX128" s="128"/>
      <c r="EY128" s="128"/>
      <c r="EZ128" s="128"/>
      <c r="FA128" s="128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  <c r="FL128" s="128"/>
      <c r="FM128" s="128"/>
      <c r="FN128" s="128"/>
      <c r="FO128" s="128"/>
      <c r="FP128" s="128"/>
      <c r="FQ128" s="128"/>
      <c r="FR128" s="128"/>
      <c r="FS128" s="128"/>
      <c r="FT128" s="128"/>
      <c r="FU128" s="128"/>
      <c r="FV128" s="128"/>
      <c r="FW128" s="128"/>
      <c r="FX128" s="128"/>
    </row>
    <row r="129" spans="1:180" s="64" customFormat="1" ht="12.6" customHeight="1" x14ac:dyDescent="0.25">
      <c r="A129" s="135"/>
      <c r="B129" s="98">
        <v>49</v>
      </c>
      <c r="C129" s="99"/>
      <c r="D129" s="100" t="s">
        <v>45</v>
      </c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  <c r="EG129" s="128"/>
      <c r="EH129" s="128"/>
      <c r="EI129" s="128"/>
      <c r="EJ129" s="128"/>
      <c r="EK129" s="128"/>
      <c r="EL129" s="128"/>
      <c r="EM129" s="128"/>
      <c r="EN129" s="128"/>
      <c r="EO129" s="128"/>
      <c r="EP129" s="128"/>
      <c r="EQ129" s="128"/>
      <c r="ER129" s="128"/>
      <c r="ES129" s="128"/>
      <c r="ET129" s="128"/>
      <c r="EU129" s="128"/>
      <c r="EV129" s="128"/>
      <c r="EW129" s="128"/>
      <c r="EX129" s="128"/>
      <c r="EY129" s="128"/>
      <c r="EZ129" s="128"/>
      <c r="FA129" s="128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  <c r="FM129" s="128"/>
      <c r="FN129" s="128"/>
      <c r="FO129" s="128"/>
      <c r="FP129" s="128"/>
      <c r="FQ129" s="128"/>
      <c r="FR129" s="128"/>
      <c r="FS129" s="128"/>
      <c r="FT129" s="128"/>
      <c r="FU129" s="128"/>
      <c r="FV129" s="128"/>
      <c r="FW129" s="128"/>
      <c r="FX129" s="128"/>
    </row>
    <row r="130" spans="1:180" ht="39" customHeight="1" x14ac:dyDescent="0.25">
      <c r="A130" s="134" t="s">
        <v>86</v>
      </c>
      <c r="B130" s="94">
        <f>20.7+394.51+345.49</f>
        <v>760.7</v>
      </c>
      <c r="C130" s="96" t="s">
        <v>87</v>
      </c>
      <c r="D130" s="95" t="s">
        <v>21</v>
      </c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  <c r="EG130" s="128"/>
      <c r="EH130" s="128"/>
      <c r="EI130" s="128"/>
      <c r="EJ130" s="128"/>
      <c r="EK130" s="128"/>
      <c r="EL130" s="128"/>
      <c r="EM130" s="128"/>
      <c r="EN130" s="128"/>
      <c r="EO130" s="128"/>
      <c r="EP130" s="128"/>
      <c r="EQ130" s="128"/>
      <c r="ER130" s="128"/>
      <c r="ES130" s="128"/>
      <c r="ET130" s="128"/>
      <c r="EU130" s="128"/>
      <c r="EV130" s="128"/>
      <c r="EW130" s="128"/>
      <c r="EX130" s="128"/>
      <c r="EY130" s="128"/>
      <c r="EZ130" s="128"/>
      <c r="FA130" s="128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  <c r="FL130" s="128"/>
      <c r="FM130" s="128"/>
      <c r="FN130" s="128"/>
      <c r="FO130" s="128"/>
      <c r="FP130" s="128"/>
      <c r="FQ130" s="128"/>
      <c r="FR130" s="128"/>
      <c r="FS130" s="128"/>
      <c r="FT130" s="128"/>
      <c r="FU130" s="128"/>
      <c r="FV130" s="128"/>
      <c r="FW130" s="128"/>
      <c r="FX130" s="128"/>
    </row>
    <row r="131" spans="1:180" ht="12.6" customHeight="1" x14ac:dyDescent="0.25">
      <c r="A131" s="134"/>
      <c r="B131" s="94">
        <v>41.58</v>
      </c>
      <c r="C131" s="96"/>
      <c r="D131" s="95" t="s">
        <v>17</v>
      </c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  <c r="EC131" s="128"/>
      <c r="ED131" s="128"/>
      <c r="EE131" s="128"/>
      <c r="EF131" s="128"/>
      <c r="EG131" s="128"/>
      <c r="EH131" s="128"/>
      <c r="EI131" s="128"/>
      <c r="EJ131" s="128"/>
      <c r="EK131" s="128"/>
      <c r="EL131" s="128"/>
      <c r="EM131" s="128"/>
      <c r="EN131" s="128"/>
      <c r="EO131" s="128"/>
      <c r="EP131" s="128"/>
      <c r="EQ131" s="128"/>
      <c r="ER131" s="128"/>
      <c r="ES131" s="128"/>
      <c r="ET131" s="128"/>
      <c r="EU131" s="128"/>
      <c r="EV131" s="128"/>
      <c r="EW131" s="128"/>
      <c r="EX131" s="128"/>
      <c r="EY131" s="128"/>
      <c r="EZ131" s="128"/>
      <c r="FA131" s="128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  <c r="FL131" s="128"/>
      <c r="FM131" s="128"/>
      <c r="FN131" s="128"/>
      <c r="FO131" s="128"/>
      <c r="FP131" s="128"/>
      <c r="FQ131" s="128"/>
      <c r="FR131" s="128"/>
      <c r="FS131" s="128"/>
      <c r="FT131" s="128"/>
      <c r="FU131" s="128"/>
      <c r="FV131" s="128"/>
      <c r="FW131" s="128"/>
      <c r="FX131" s="128"/>
    </row>
    <row r="132" spans="1:180" ht="12.6" customHeight="1" x14ac:dyDescent="0.25">
      <c r="A132" s="134"/>
      <c r="B132" s="94">
        <f>49.5+16.5+17+18.5+26.5</f>
        <v>128</v>
      </c>
      <c r="C132" s="96"/>
      <c r="D132" s="95" t="s">
        <v>24</v>
      </c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8"/>
      <c r="EQ132" s="128"/>
      <c r="ER132" s="128"/>
      <c r="ES132" s="128"/>
      <c r="ET132" s="128"/>
      <c r="EU132" s="128"/>
      <c r="EV132" s="128"/>
      <c r="EW132" s="128"/>
      <c r="EX132" s="128"/>
      <c r="EY132" s="128"/>
      <c r="EZ132" s="128"/>
      <c r="FA132" s="128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</row>
    <row r="133" spans="1:180" ht="12.6" customHeight="1" x14ac:dyDescent="0.25">
      <c r="A133" s="93"/>
      <c r="B133" s="94">
        <v>26</v>
      </c>
      <c r="C133" s="96"/>
      <c r="D133" s="95" t="s">
        <v>42</v>
      </c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</row>
    <row r="134" spans="1:180" s="64" customFormat="1" ht="12.6" customHeight="1" x14ac:dyDescent="0.25">
      <c r="A134" s="97"/>
      <c r="B134" s="98">
        <v>20.190000000000001</v>
      </c>
      <c r="C134" s="99"/>
      <c r="D134" s="100" t="s">
        <v>88</v>
      </c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</row>
    <row r="135" spans="1:180" ht="19.5" customHeight="1" x14ac:dyDescent="0.25">
      <c r="A135" s="39" t="s">
        <v>34</v>
      </c>
      <c r="B135" s="42">
        <f>SUBTOTAL(109, B31:B134)</f>
        <v>23340.580000000005</v>
      </c>
      <c r="C135" s="128"/>
      <c r="D135" s="10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28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</row>
    <row r="136" spans="1:180" ht="19.5" customHeight="1" x14ac:dyDescent="0.3">
      <c r="A136" s="158" t="s">
        <v>89</v>
      </c>
      <c r="B136" s="159"/>
      <c r="C136" s="159"/>
      <c r="D136" s="8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</row>
    <row r="137" spans="1:180" s="25" customFormat="1" ht="25.5" customHeight="1" x14ac:dyDescent="0.25">
      <c r="A137" s="22" t="s">
        <v>90</v>
      </c>
      <c r="B137" s="23" t="s">
        <v>11</v>
      </c>
      <c r="C137" s="23" t="s">
        <v>91</v>
      </c>
      <c r="D137" s="84" t="s">
        <v>36</v>
      </c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</row>
    <row r="138" spans="1:180" ht="12.75" customHeight="1" x14ac:dyDescent="0.25">
      <c r="A138" s="132">
        <v>42557</v>
      </c>
      <c r="B138" s="67">
        <v>10.6</v>
      </c>
      <c r="C138" s="128" t="s">
        <v>92</v>
      </c>
      <c r="D138" s="10" t="s">
        <v>42</v>
      </c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</row>
    <row r="139" spans="1:180" ht="12.75" customHeight="1" x14ac:dyDescent="0.25">
      <c r="A139" s="132">
        <v>42598</v>
      </c>
      <c r="B139" s="67">
        <v>8.6</v>
      </c>
      <c r="C139" s="128" t="s">
        <v>93</v>
      </c>
      <c r="D139" s="10" t="s">
        <v>42</v>
      </c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</row>
    <row r="140" spans="1:180" ht="12.75" customHeight="1" x14ac:dyDescent="0.25">
      <c r="A140" s="132">
        <v>42604</v>
      </c>
      <c r="B140" s="67">
        <v>30</v>
      </c>
      <c r="C140" s="128" t="s">
        <v>94</v>
      </c>
      <c r="D140" s="10" t="s">
        <v>42</v>
      </c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8"/>
      <c r="ES140" s="128"/>
      <c r="ET140" s="128"/>
      <c r="EU140" s="128"/>
      <c r="EV140" s="128"/>
      <c r="EW140" s="128"/>
      <c r="EX140" s="128"/>
      <c r="EY140" s="128"/>
      <c r="EZ140" s="128"/>
      <c r="FA140" s="128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  <c r="FL140" s="128"/>
      <c r="FM140" s="128"/>
      <c r="FN140" s="128"/>
      <c r="FO140" s="128"/>
      <c r="FP140" s="128"/>
      <c r="FQ140" s="128"/>
      <c r="FR140" s="128"/>
      <c r="FS140" s="128"/>
      <c r="FT140" s="128"/>
      <c r="FU140" s="128"/>
      <c r="FV140" s="128"/>
      <c r="FW140" s="128"/>
      <c r="FX140" s="128"/>
    </row>
    <row r="141" spans="1:180" ht="12.75" customHeight="1" x14ac:dyDescent="0.25">
      <c r="A141" s="132">
        <v>42640</v>
      </c>
      <c r="B141" s="67">
        <v>14.19</v>
      </c>
      <c r="C141" s="128" t="s">
        <v>95</v>
      </c>
      <c r="D141" s="10" t="s">
        <v>96</v>
      </c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/>
      <c r="EN141" s="128"/>
      <c r="EO141" s="128"/>
      <c r="EP141" s="128"/>
      <c r="EQ141" s="128"/>
      <c r="ER141" s="128"/>
      <c r="ES141" s="128"/>
      <c r="ET141" s="128"/>
      <c r="EU141" s="128"/>
      <c r="EV141" s="128"/>
      <c r="EW141" s="128"/>
      <c r="EX141" s="128"/>
      <c r="EY141" s="128"/>
      <c r="EZ141" s="128"/>
      <c r="FA141" s="128"/>
      <c r="FB141" s="128"/>
      <c r="FC141" s="128"/>
      <c r="FD141" s="128"/>
      <c r="FE141" s="128"/>
      <c r="FF141" s="128"/>
      <c r="FG141" s="128"/>
      <c r="FH141" s="128"/>
      <c r="FI141" s="128"/>
      <c r="FJ141" s="128"/>
      <c r="FK141" s="128"/>
      <c r="FL141" s="128"/>
      <c r="FM141" s="128"/>
      <c r="FN141" s="128"/>
      <c r="FO141" s="128"/>
      <c r="FP141" s="128"/>
      <c r="FQ141" s="128"/>
      <c r="FR141" s="128"/>
      <c r="FS141" s="128"/>
      <c r="FT141" s="128"/>
      <c r="FU141" s="128"/>
      <c r="FV141" s="128"/>
      <c r="FW141" s="128"/>
      <c r="FX141" s="128"/>
    </row>
    <row r="142" spans="1:180" ht="12.75" customHeight="1" x14ac:dyDescent="0.25">
      <c r="A142" s="132">
        <v>42783</v>
      </c>
      <c r="B142" s="67">
        <v>15.3</v>
      </c>
      <c r="C142" s="128" t="s">
        <v>97</v>
      </c>
      <c r="D142" s="10" t="s">
        <v>96</v>
      </c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  <c r="EX142" s="128"/>
      <c r="EY142" s="128"/>
      <c r="EZ142" s="128"/>
      <c r="FA142" s="128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</row>
    <row r="143" spans="1:180" ht="12.75" customHeight="1" x14ac:dyDescent="0.25">
      <c r="A143" s="132">
        <v>42817</v>
      </c>
      <c r="B143" s="67">
        <v>6.5</v>
      </c>
      <c r="C143" s="128" t="s">
        <v>98</v>
      </c>
      <c r="D143" s="10" t="s">
        <v>42</v>
      </c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  <c r="EY143" s="128"/>
      <c r="EZ143" s="128"/>
      <c r="FA143" s="128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</row>
    <row r="144" spans="1:180" ht="12.75" customHeight="1" x14ac:dyDescent="0.25">
      <c r="A144" s="132">
        <v>42852</v>
      </c>
      <c r="B144" s="67">
        <f>14.19+10.23</f>
        <v>24.42</v>
      </c>
      <c r="C144" s="128" t="s">
        <v>99</v>
      </c>
      <c r="D144" s="10" t="s">
        <v>17</v>
      </c>
      <c r="E144" s="128"/>
      <c r="F144" s="128"/>
      <c r="G144" s="115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</row>
    <row r="145" spans="1:180" ht="12.75" customHeight="1" x14ac:dyDescent="0.25">
      <c r="A145" s="132">
        <v>42856</v>
      </c>
      <c r="B145" s="67">
        <v>24.6</v>
      </c>
      <c r="C145" s="128" t="s">
        <v>100</v>
      </c>
      <c r="D145" s="10" t="s">
        <v>42</v>
      </c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28"/>
      <c r="EG145" s="128"/>
      <c r="EH145" s="128"/>
      <c r="EI145" s="128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</row>
    <row r="146" spans="1:180" ht="12.75" customHeight="1" x14ac:dyDescent="0.25">
      <c r="A146" s="132">
        <v>42878</v>
      </c>
      <c r="B146" s="67">
        <v>36.409999999999997</v>
      </c>
      <c r="C146" s="128" t="s">
        <v>99</v>
      </c>
      <c r="D146" s="10" t="s">
        <v>17</v>
      </c>
      <c r="E146" s="128"/>
      <c r="F146" s="128"/>
      <c r="G146" s="115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</row>
    <row r="147" spans="1:180" ht="12.75" customHeight="1" x14ac:dyDescent="0.25">
      <c r="A147" s="132">
        <v>42905</v>
      </c>
      <c r="B147" s="67">
        <v>18</v>
      </c>
      <c r="C147" s="128" t="s">
        <v>101</v>
      </c>
      <c r="D147" s="10" t="s">
        <v>42</v>
      </c>
      <c r="E147" s="128"/>
      <c r="F147" s="128"/>
      <c r="G147" s="128"/>
      <c r="H147" s="115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</row>
    <row r="148" spans="1:180" ht="19.5" customHeight="1" x14ac:dyDescent="0.25">
      <c r="A148" s="39" t="s">
        <v>34</v>
      </c>
      <c r="B148" s="42">
        <f>SUBTOTAL(109,B138:B147)</f>
        <v>188.62</v>
      </c>
      <c r="C148" s="109"/>
      <c r="D148" s="130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28"/>
      <c r="EM148" s="128"/>
      <c r="EN148" s="128"/>
      <c r="EO148" s="128"/>
      <c r="EP148" s="128"/>
      <c r="EQ148" s="128"/>
      <c r="ER148" s="128"/>
      <c r="ES148" s="128"/>
      <c r="ET148" s="128"/>
      <c r="EU148" s="128"/>
      <c r="EV148" s="128"/>
      <c r="EW148" s="128"/>
      <c r="EX148" s="128"/>
      <c r="EY148" s="128"/>
      <c r="EZ148" s="128"/>
      <c r="FA148" s="128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  <c r="FN148" s="128"/>
      <c r="FO148" s="128"/>
      <c r="FP148" s="128"/>
      <c r="FQ148" s="128"/>
      <c r="FR148" s="128"/>
      <c r="FS148" s="128"/>
      <c r="FT148" s="128"/>
      <c r="FU148" s="128"/>
      <c r="FV148" s="128"/>
      <c r="FW148" s="128"/>
      <c r="FX148" s="128"/>
    </row>
    <row r="149" spans="1:180" s="7" customFormat="1" ht="34.5" customHeight="1" x14ac:dyDescent="0.25">
      <c r="A149" s="26" t="s">
        <v>102</v>
      </c>
      <c r="B149" s="43">
        <f>B28+B135+B148</f>
        <v>79939.520000000004</v>
      </c>
      <c r="C149" s="8"/>
      <c r="D149" s="89"/>
    </row>
    <row r="150" spans="1:180" s="40" customFormat="1" x14ac:dyDescent="0.25">
      <c r="A150" s="128"/>
      <c r="B150" s="37"/>
      <c r="C150" s="38"/>
      <c r="D150" s="3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8"/>
      <c r="ES150" s="128"/>
      <c r="ET150" s="128"/>
      <c r="EU150" s="128"/>
      <c r="EV150" s="128"/>
      <c r="EW150" s="128"/>
      <c r="EX150" s="128"/>
      <c r="EY150" s="128"/>
      <c r="EZ150" s="128"/>
      <c r="FA150" s="128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  <c r="FN150" s="128"/>
      <c r="FO150" s="128"/>
      <c r="FP150" s="128"/>
      <c r="FQ150" s="128"/>
      <c r="FR150" s="128"/>
      <c r="FS150" s="128"/>
      <c r="FT150" s="128"/>
      <c r="FU150" s="128"/>
      <c r="FV150" s="128"/>
      <c r="FW150" s="128"/>
      <c r="FX150" s="128"/>
    </row>
    <row r="151" spans="1:180" s="41" customFormat="1" x14ac:dyDescent="0.25">
      <c r="A151" s="28"/>
      <c r="B151" s="3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28"/>
      <c r="EU151" s="128"/>
      <c r="EV151" s="128"/>
      <c r="EW151" s="128"/>
      <c r="EX151" s="128"/>
      <c r="EY151" s="128"/>
      <c r="EZ151" s="128"/>
      <c r="FA151" s="128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</row>
    <row r="152" spans="1:180" s="41" customFormat="1" ht="12.6" customHeight="1" x14ac:dyDescent="0.25">
      <c r="A152" s="143"/>
      <c r="B152" s="143"/>
      <c r="C152" s="143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  <c r="FN152" s="128"/>
      <c r="FO152" s="128"/>
      <c r="FP152" s="128"/>
      <c r="FQ152" s="128"/>
      <c r="FR152" s="128"/>
      <c r="FS152" s="128"/>
      <c r="FT152" s="128"/>
      <c r="FU152" s="128"/>
      <c r="FV152" s="128"/>
      <c r="FW152" s="128"/>
      <c r="FX152" s="128"/>
    </row>
    <row r="153" spans="1:180" s="40" customFormat="1" ht="12.9" customHeight="1" x14ac:dyDescent="0.25">
      <c r="A153" s="144"/>
      <c r="B153" s="144"/>
      <c r="C153" s="144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28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  <c r="FL153" s="128"/>
      <c r="FM153" s="128"/>
      <c r="FN153" s="128"/>
      <c r="FO153" s="128"/>
      <c r="FP153" s="128"/>
      <c r="FQ153" s="128"/>
      <c r="FR153" s="128"/>
      <c r="FS153" s="128"/>
      <c r="FT153" s="128"/>
      <c r="FU153" s="128"/>
      <c r="FV153" s="128"/>
      <c r="FW153" s="128"/>
      <c r="FX153" s="128"/>
    </row>
    <row r="154" spans="1:180" x14ac:dyDescent="0.25">
      <c r="A154" s="35"/>
      <c r="B154" s="36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28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</row>
    <row r="155" spans="1:180" x14ac:dyDescent="0.25">
      <c r="A155" s="45"/>
      <c r="B155" s="36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</row>
    <row r="156" spans="1:180" x14ac:dyDescent="0.25">
      <c r="A156" s="45"/>
      <c r="B156" s="36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  <c r="DT156" s="128"/>
      <c r="DU156" s="128"/>
      <c r="DV156" s="128"/>
      <c r="DW156" s="128"/>
      <c r="DX156" s="128"/>
      <c r="DY156" s="128"/>
      <c r="DZ156" s="128"/>
      <c r="EA156" s="128"/>
      <c r="EB156" s="128"/>
      <c r="EC156" s="128"/>
      <c r="ED156" s="128"/>
      <c r="EE156" s="128"/>
      <c r="EF156" s="128"/>
      <c r="EG156" s="128"/>
      <c r="EH156" s="128"/>
      <c r="EI156" s="128"/>
      <c r="EJ156" s="128"/>
      <c r="EK156" s="128"/>
      <c r="EL156" s="128"/>
      <c r="EM156" s="128"/>
      <c r="EN156" s="128"/>
      <c r="EO156" s="128"/>
      <c r="EP156" s="128"/>
      <c r="EQ156" s="128"/>
      <c r="ER156" s="128"/>
      <c r="ES156" s="128"/>
      <c r="ET156" s="128"/>
      <c r="EU156" s="128"/>
      <c r="EV156" s="128"/>
      <c r="EW156" s="128"/>
      <c r="EX156" s="128"/>
      <c r="EY156" s="128"/>
      <c r="EZ156" s="128"/>
      <c r="FA156" s="128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  <c r="FL156" s="128"/>
      <c r="FM156" s="128"/>
      <c r="FN156" s="128"/>
      <c r="FO156" s="128"/>
      <c r="FP156" s="128"/>
      <c r="FQ156" s="128"/>
      <c r="FR156" s="128"/>
      <c r="FS156" s="128"/>
      <c r="FT156" s="128"/>
      <c r="FU156" s="128"/>
      <c r="FV156" s="128"/>
      <c r="FW156" s="128"/>
      <c r="FX156" s="128"/>
    </row>
    <row r="157" spans="1:180" x14ac:dyDescent="0.25">
      <c r="A157" s="139"/>
      <c r="B157" s="139"/>
      <c r="C157" s="139"/>
      <c r="D157" s="139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  <c r="EG157" s="128"/>
      <c r="EH157" s="128"/>
      <c r="EI157" s="128"/>
      <c r="EJ157" s="128"/>
      <c r="EK157" s="128"/>
      <c r="EL157" s="128"/>
      <c r="EM157" s="128"/>
      <c r="EN157" s="128"/>
      <c r="EO157" s="128"/>
      <c r="EP157" s="128"/>
      <c r="EQ157" s="128"/>
      <c r="ER157" s="128"/>
      <c r="ES157" s="128"/>
      <c r="ET157" s="128"/>
      <c r="EU157" s="128"/>
      <c r="EV157" s="128"/>
      <c r="EW157" s="128"/>
      <c r="EX157" s="128"/>
      <c r="EY157" s="128"/>
      <c r="EZ157" s="128"/>
      <c r="FA157" s="128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128"/>
      <c r="FU157" s="128"/>
      <c r="FV157" s="128"/>
      <c r="FW157" s="128"/>
      <c r="FX157" s="128"/>
    </row>
    <row r="158" spans="1:180" x14ac:dyDescent="0.25">
      <c r="A158" s="21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  <c r="EG158" s="128"/>
      <c r="EH158" s="128"/>
      <c r="EI158" s="128"/>
      <c r="EJ158" s="128"/>
      <c r="EK158" s="128"/>
      <c r="EL158" s="128"/>
      <c r="EM158" s="128"/>
      <c r="EN158" s="128"/>
      <c r="EO158" s="128"/>
      <c r="EP158" s="128"/>
      <c r="EQ158" s="128"/>
      <c r="ER158" s="128"/>
      <c r="ES158" s="128"/>
      <c r="ET158" s="128"/>
      <c r="EU158" s="128"/>
      <c r="EV158" s="128"/>
      <c r="EW158" s="128"/>
      <c r="EX158" s="128"/>
      <c r="EY158" s="128"/>
      <c r="EZ158" s="128"/>
      <c r="FA158" s="128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</row>
    <row r="159" spans="1:180" x14ac:dyDescent="0.25">
      <c r="A159" s="21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  <c r="EA159" s="128"/>
      <c r="EB159" s="128"/>
      <c r="EC159" s="128"/>
      <c r="ED159" s="128"/>
      <c r="EE159" s="128"/>
      <c r="EF159" s="128"/>
      <c r="EG159" s="128"/>
      <c r="EH159" s="128"/>
      <c r="EI159" s="128"/>
      <c r="EJ159" s="128"/>
      <c r="EK159" s="128"/>
      <c r="EL159" s="128"/>
      <c r="EM159" s="128"/>
      <c r="EN159" s="128"/>
      <c r="EO159" s="128"/>
      <c r="EP159" s="128"/>
      <c r="EQ159" s="128"/>
      <c r="ER159" s="128"/>
      <c r="ES159" s="128"/>
      <c r="ET159" s="128"/>
      <c r="EU159" s="128"/>
      <c r="EV159" s="128"/>
      <c r="EW159" s="128"/>
      <c r="EX159" s="128"/>
      <c r="EY159" s="128"/>
      <c r="EZ159" s="128"/>
      <c r="FA159" s="128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  <c r="FL159" s="128"/>
      <c r="FM159" s="128"/>
      <c r="FN159" s="128"/>
      <c r="FO159" s="128"/>
      <c r="FP159" s="128"/>
      <c r="FQ159" s="128"/>
      <c r="FR159" s="128"/>
      <c r="FS159" s="128"/>
      <c r="FT159" s="128"/>
      <c r="FU159" s="128"/>
      <c r="FV159" s="128"/>
      <c r="FW159" s="128"/>
      <c r="FX159" s="128"/>
    </row>
    <row r="160" spans="1:180" x14ac:dyDescent="0.25">
      <c r="A160" s="21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  <c r="DW160" s="128"/>
      <c r="DX160" s="128"/>
      <c r="DY160" s="128"/>
      <c r="DZ160" s="128"/>
      <c r="EA160" s="128"/>
      <c r="EB160" s="128"/>
      <c r="EC160" s="128"/>
      <c r="ED160" s="128"/>
      <c r="EE160" s="128"/>
      <c r="EF160" s="128"/>
      <c r="EG160" s="128"/>
      <c r="EH160" s="128"/>
      <c r="EI160" s="128"/>
      <c r="EJ160" s="128"/>
      <c r="EK160" s="128"/>
      <c r="EL160" s="128"/>
      <c r="EM160" s="128"/>
      <c r="EN160" s="128"/>
      <c r="EO160" s="128"/>
      <c r="EP160" s="128"/>
      <c r="EQ160" s="128"/>
      <c r="ER160" s="128"/>
      <c r="ES160" s="128"/>
      <c r="ET160" s="128"/>
      <c r="EU160" s="128"/>
      <c r="EV160" s="128"/>
      <c r="EW160" s="128"/>
      <c r="EX160" s="128"/>
      <c r="EY160" s="128"/>
      <c r="EZ160" s="128"/>
      <c r="FA160" s="128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  <c r="FL160" s="128"/>
      <c r="FM160" s="128"/>
      <c r="FN160" s="128"/>
      <c r="FO160" s="128"/>
      <c r="FP160" s="128"/>
      <c r="FQ160" s="128"/>
      <c r="FR160" s="128"/>
      <c r="FS160" s="128"/>
      <c r="FT160" s="128"/>
      <c r="FU160" s="128"/>
      <c r="FV160" s="128"/>
      <c r="FW160" s="128"/>
      <c r="FX160" s="128"/>
    </row>
    <row r="161" spans="1:4" x14ac:dyDescent="0.25">
      <c r="A161" s="21"/>
      <c r="B161" s="128"/>
      <c r="C161" s="128"/>
      <c r="D161" s="128"/>
    </row>
    <row r="162" spans="1:4" x14ac:dyDescent="0.25">
      <c r="A162" s="21"/>
      <c r="B162" s="128"/>
      <c r="C162" s="128"/>
      <c r="D162" s="128"/>
    </row>
    <row r="163" spans="1:4" x14ac:dyDescent="0.25">
      <c r="A163" s="21"/>
      <c r="B163" s="128"/>
      <c r="C163" s="128"/>
      <c r="D163" s="128"/>
    </row>
    <row r="164" spans="1:4" x14ac:dyDescent="0.25">
      <c r="A164" s="21"/>
      <c r="B164" s="128"/>
      <c r="C164" s="128"/>
      <c r="D164" s="128"/>
    </row>
    <row r="165" spans="1:4" x14ac:dyDescent="0.25">
      <c r="A165" s="21"/>
      <c r="B165" s="128"/>
      <c r="C165" s="128"/>
      <c r="D165" s="128"/>
    </row>
    <row r="166" spans="1:4" x14ac:dyDescent="0.25">
      <c r="A166" s="21"/>
      <c r="B166" s="128"/>
      <c r="C166" s="128"/>
      <c r="D166" s="128"/>
    </row>
    <row r="167" spans="1:4" x14ac:dyDescent="0.25">
      <c r="A167" s="21"/>
      <c r="B167" s="128"/>
      <c r="C167" s="128"/>
      <c r="D167" s="128"/>
    </row>
    <row r="168" spans="1:4" x14ac:dyDescent="0.25">
      <c r="A168" s="21"/>
      <c r="B168" s="128"/>
      <c r="C168" s="128"/>
      <c r="D168" s="128"/>
    </row>
  </sheetData>
  <mergeCells count="12">
    <mergeCell ref="A157:D157"/>
    <mergeCell ref="A1:D1"/>
    <mergeCell ref="A152:C152"/>
    <mergeCell ref="A153:C153"/>
    <mergeCell ref="A7:D7"/>
    <mergeCell ref="B2:D2"/>
    <mergeCell ref="B3:D3"/>
    <mergeCell ref="B4:D4"/>
    <mergeCell ref="A5:D5"/>
    <mergeCell ref="A6:D6"/>
    <mergeCell ref="A29:C29"/>
    <mergeCell ref="A136:C136"/>
  </mergeCells>
  <printOptions gridLines="1"/>
  <pageMargins left="0.43307086614173229" right="0.31496062992125984" top="0.43307086614173229" bottom="0.55118110236220474" header="0.31496062992125984" footer="0.31496062992125984"/>
  <pageSetup paperSize="9" scale="81" fitToHeight="2" orientation="landscape" r:id="rId1"/>
  <headerFooter alignWithMargins="0">
    <oddFooter>&amp;L&amp;8&amp;Z&amp;F&amp;A&amp;R&amp;8&amp;D&amp;T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opLeftCell="A2" zoomScaleNormal="100" workbookViewId="0">
      <selection activeCell="H23" sqref="H23"/>
    </sheetView>
  </sheetViews>
  <sheetFormatPr defaultColWidth="9.109375" defaultRowHeight="13.2" x14ac:dyDescent="0.25"/>
  <cols>
    <col min="1" max="1" width="26.33203125" style="74" customWidth="1"/>
    <col min="2" max="2" width="10.88671875" style="14" customWidth="1"/>
    <col min="3" max="3" width="62.5546875" style="14" customWidth="1"/>
    <col min="4" max="4" width="27.44140625" style="14" customWidth="1"/>
    <col min="5" max="5" width="26.88671875" style="14" customWidth="1"/>
    <col min="6" max="6" width="17.33203125" style="14" customWidth="1"/>
    <col min="7" max="16384" width="9.109375" style="15"/>
  </cols>
  <sheetData>
    <row r="1" spans="1:7" ht="36" customHeight="1" x14ac:dyDescent="0.25">
      <c r="A1" s="161" t="s">
        <v>0</v>
      </c>
      <c r="B1" s="161"/>
      <c r="C1" s="161"/>
      <c r="D1" s="161"/>
      <c r="E1" s="161"/>
      <c r="F1" s="161"/>
    </row>
    <row r="2" spans="1:7" ht="36" customHeight="1" x14ac:dyDescent="0.25">
      <c r="A2" s="69" t="s">
        <v>1</v>
      </c>
      <c r="B2" s="148" t="str">
        <f>Travel!B2</f>
        <v>EDUCATION NEW ZEALAND</v>
      </c>
      <c r="C2" s="148"/>
      <c r="D2" s="148"/>
      <c r="E2" s="148"/>
      <c r="F2" s="148"/>
      <c r="G2" s="31"/>
    </row>
    <row r="3" spans="1:7" ht="36" customHeight="1" x14ac:dyDescent="0.25">
      <c r="A3" s="69" t="s">
        <v>3</v>
      </c>
      <c r="B3" s="149" t="str">
        <f>Travel!B3</f>
        <v>GRANT MCPHERSON</v>
      </c>
      <c r="C3" s="149"/>
      <c r="D3" s="149"/>
      <c r="E3" s="149"/>
      <c r="F3" s="149"/>
      <c r="G3" s="32"/>
    </row>
    <row r="4" spans="1:7" ht="36" customHeight="1" x14ac:dyDescent="0.25">
      <c r="A4" s="69" t="s">
        <v>5</v>
      </c>
      <c r="B4" s="149" t="str">
        <f>Travel!B4</f>
        <v>1 July 2016 to 30 June 2017</v>
      </c>
      <c r="C4" s="149"/>
      <c r="D4" s="149"/>
      <c r="E4" s="149"/>
      <c r="F4" s="149"/>
      <c r="G4" s="32"/>
    </row>
    <row r="5" spans="1:7" s="13" customFormat="1" ht="35.25" customHeight="1" x14ac:dyDescent="0.3">
      <c r="A5" s="165" t="s">
        <v>103</v>
      </c>
      <c r="B5" s="166"/>
      <c r="C5" s="167"/>
      <c r="D5" s="167"/>
      <c r="E5" s="167"/>
      <c r="F5" s="168"/>
    </row>
    <row r="6" spans="1:7" s="13" customFormat="1" ht="35.25" customHeight="1" x14ac:dyDescent="0.3">
      <c r="A6" s="162" t="s">
        <v>104</v>
      </c>
      <c r="B6" s="163"/>
      <c r="C6" s="163"/>
      <c r="D6" s="163"/>
      <c r="E6" s="163"/>
      <c r="F6" s="164"/>
    </row>
    <row r="7" spans="1:7" s="3" customFormat="1" ht="30.9" customHeight="1" x14ac:dyDescent="0.25">
      <c r="A7" s="170" t="s">
        <v>105</v>
      </c>
      <c r="B7" s="171"/>
      <c r="C7" s="172"/>
      <c r="D7" s="172"/>
      <c r="E7" s="172"/>
      <c r="F7" s="173"/>
    </row>
    <row r="8" spans="1:7" ht="26.4" x14ac:dyDescent="0.25">
      <c r="A8" s="70" t="s">
        <v>90</v>
      </c>
      <c r="B8" s="23" t="s">
        <v>11</v>
      </c>
      <c r="C8" s="2" t="s">
        <v>106</v>
      </c>
      <c r="D8" s="2" t="s">
        <v>13</v>
      </c>
      <c r="E8" s="2" t="s">
        <v>107</v>
      </c>
      <c r="F8" s="9" t="s">
        <v>108</v>
      </c>
    </row>
    <row r="9" spans="1:7" x14ac:dyDescent="0.25">
      <c r="A9" s="131">
        <v>42572</v>
      </c>
      <c r="B9" s="107">
        <v>51.5</v>
      </c>
      <c r="C9" s="75" t="s">
        <v>109</v>
      </c>
      <c r="D9" s="79" t="s">
        <v>110</v>
      </c>
      <c r="E9" s="75" t="s">
        <v>111</v>
      </c>
      <c r="F9" s="76" t="s">
        <v>112</v>
      </c>
    </row>
    <row r="10" spans="1:7" ht="26.4" x14ac:dyDescent="0.25">
      <c r="A10" s="132">
        <v>42580</v>
      </c>
      <c r="B10" s="107">
        <v>57.9</v>
      </c>
      <c r="C10" s="75" t="s">
        <v>113</v>
      </c>
      <c r="D10" s="79" t="s">
        <v>114</v>
      </c>
      <c r="E10" s="54" t="s">
        <v>111</v>
      </c>
      <c r="F10" s="85" t="s">
        <v>112</v>
      </c>
    </row>
    <row r="11" spans="1:7" s="78" customFormat="1" ht="30" customHeight="1" x14ac:dyDescent="0.25">
      <c r="A11" s="133">
        <v>42584</v>
      </c>
      <c r="B11" s="110">
        <v>42</v>
      </c>
      <c r="C11" s="79" t="s">
        <v>115</v>
      </c>
      <c r="D11" s="79" t="s">
        <v>116</v>
      </c>
      <c r="E11" s="77" t="s">
        <v>117</v>
      </c>
      <c r="F11" s="80" t="s">
        <v>112</v>
      </c>
    </row>
    <row r="12" spans="1:7" x14ac:dyDescent="0.25">
      <c r="A12" s="131">
        <v>42592</v>
      </c>
      <c r="B12" s="107">
        <v>18</v>
      </c>
      <c r="C12" s="75" t="s">
        <v>118</v>
      </c>
      <c r="D12" s="79" t="s">
        <v>119</v>
      </c>
      <c r="E12" s="75" t="s">
        <v>111</v>
      </c>
      <c r="F12" s="76" t="s">
        <v>112</v>
      </c>
    </row>
    <row r="13" spans="1:7" x14ac:dyDescent="0.25">
      <c r="A13" s="131">
        <v>42622</v>
      </c>
      <c r="B13" s="107">
        <v>18</v>
      </c>
      <c r="C13" s="75" t="s">
        <v>120</v>
      </c>
      <c r="D13" s="79" t="s">
        <v>121</v>
      </c>
      <c r="E13" s="75" t="s">
        <v>111</v>
      </c>
      <c r="F13" s="76" t="s">
        <v>112</v>
      </c>
    </row>
    <row r="14" spans="1:7" x14ac:dyDescent="0.25">
      <c r="A14" s="132">
        <v>42636</v>
      </c>
      <c r="B14" s="107">
        <v>8.5</v>
      </c>
      <c r="C14" s="54" t="s">
        <v>122</v>
      </c>
      <c r="D14" s="79" t="s">
        <v>119</v>
      </c>
      <c r="E14" s="75" t="s">
        <v>123</v>
      </c>
      <c r="F14" s="85" t="s">
        <v>124</v>
      </c>
    </row>
    <row r="15" spans="1:7" s="78" customFormat="1" ht="30" customHeight="1" x14ac:dyDescent="0.25">
      <c r="A15" s="133">
        <v>42677</v>
      </c>
      <c r="B15" s="110">
        <v>8.5</v>
      </c>
      <c r="C15" s="79" t="s">
        <v>125</v>
      </c>
      <c r="D15" s="79" t="s">
        <v>119</v>
      </c>
      <c r="E15" s="77" t="s">
        <v>126</v>
      </c>
      <c r="F15" s="80" t="s">
        <v>112</v>
      </c>
    </row>
    <row r="16" spans="1:7" ht="26.4" x14ac:dyDescent="0.25">
      <c r="A16" s="132">
        <v>42690</v>
      </c>
      <c r="B16" s="107">
        <v>4.5</v>
      </c>
      <c r="C16" s="75" t="s">
        <v>127</v>
      </c>
      <c r="D16" s="79" t="s">
        <v>119</v>
      </c>
      <c r="E16" s="75" t="s">
        <v>111</v>
      </c>
      <c r="F16" s="76" t="s">
        <v>112</v>
      </c>
    </row>
    <row r="17" spans="1:6" x14ac:dyDescent="0.25">
      <c r="A17" s="131">
        <v>42695</v>
      </c>
      <c r="B17" s="107">
        <v>7.5</v>
      </c>
      <c r="C17" s="75" t="s">
        <v>128</v>
      </c>
      <c r="D17" s="79" t="s">
        <v>119</v>
      </c>
      <c r="E17" s="75" t="s">
        <v>129</v>
      </c>
      <c r="F17" s="76" t="s">
        <v>112</v>
      </c>
    </row>
    <row r="18" spans="1:6" x14ac:dyDescent="0.25">
      <c r="A18" s="131">
        <v>42695</v>
      </c>
      <c r="B18" s="107">
        <v>447.95</v>
      </c>
      <c r="C18" s="75" t="s">
        <v>130</v>
      </c>
      <c r="D18" s="79" t="s">
        <v>131</v>
      </c>
      <c r="E18" s="75" t="s">
        <v>132</v>
      </c>
      <c r="F18" s="76" t="s">
        <v>112</v>
      </c>
    </row>
    <row r="19" spans="1:6" x14ac:dyDescent="0.25">
      <c r="A19" s="131">
        <v>42725</v>
      </c>
      <c r="B19" s="107">
        <v>8.6999999999999993</v>
      </c>
      <c r="C19" s="75" t="s">
        <v>133</v>
      </c>
      <c r="D19" s="79" t="s">
        <v>119</v>
      </c>
      <c r="E19" s="75" t="s">
        <v>129</v>
      </c>
      <c r="F19" s="76" t="s">
        <v>112</v>
      </c>
    </row>
    <row r="20" spans="1:6" x14ac:dyDescent="0.25">
      <c r="A20" s="131">
        <v>42697</v>
      </c>
      <c r="B20" s="107">
        <v>8.5</v>
      </c>
      <c r="C20" s="75" t="s">
        <v>118</v>
      </c>
      <c r="D20" s="79" t="s">
        <v>119</v>
      </c>
      <c r="E20" s="75" t="s">
        <v>111</v>
      </c>
      <c r="F20" s="76" t="s">
        <v>112</v>
      </c>
    </row>
    <row r="21" spans="1:6" x14ac:dyDescent="0.25">
      <c r="A21" s="131">
        <v>42767</v>
      </c>
      <c r="B21" s="107">
        <v>384</v>
      </c>
      <c r="C21" s="75" t="s">
        <v>134</v>
      </c>
      <c r="D21" s="79" t="s">
        <v>135</v>
      </c>
      <c r="E21" s="75" t="s">
        <v>129</v>
      </c>
      <c r="F21" s="76" t="s">
        <v>112</v>
      </c>
    </row>
    <row r="22" spans="1:6" ht="26.4" x14ac:dyDescent="0.25">
      <c r="A22" s="132">
        <v>42783</v>
      </c>
      <c r="B22" s="107">
        <v>53.7</v>
      </c>
      <c r="C22" s="54" t="s">
        <v>136</v>
      </c>
      <c r="D22" s="79" t="s">
        <v>137</v>
      </c>
      <c r="E22" s="75" t="s">
        <v>138</v>
      </c>
      <c r="F22" s="85" t="s">
        <v>112</v>
      </c>
    </row>
    <row r="23" spans="1:6" ht="26.4" x14ac:dyDescent="0.25">
      <c r="A23" s="132">
        <v>42809</v>
      </c>
      <c r="B23" s="107">
        <v>73.099999999999994</v>
      </c>
      <c r="C23" s="54" t="s">
        <v>139</v>
      </c>
      <c r="D23" s="79" t="s">
        <v>140</v>
      </c>
      <c r="E23" s="54" t="s">
        <v>141</v>
      </c>
      <c r="F23" s="85" t="s">
        <v>112</v>
      </c>
    </row>
    <row r="24" spans="1:6" x14ac:dyDescent="0.25">
      <c r="A24" s="131">
        <v>42809</v>
      </c>
      <c r="B24" s="107">
        <v>12.25</v>
      </c>
      <c r="C24" s="75" t="s">
        <v>118</v>
      </c>
      <c r="D24" s="79" t="s">
        <v>119</v>
      </c>
      <c r="E24" s="75" t="s">
        <v>111</v>
      </c>
      <c r="F24" s="76" t="s">
        <v>124</v>
      </c>
    </row>
    <row r="25" spans="1:6" x14ac:dyDescent="0.25">
      <c r="A25" s="131">
        <v>42853</v>
      </c>
      <c r="B25" s="107">
        <v>44</v>
      </c>
      <c r="C25" s="75" t="s">
        <v>142</v>
      </c>
      <c r="D25" s="79" t="s">
        <v>137</v>
      </c>
      <c r="E25" s="75" t="s">
        <v>111</v>
      </c>
      <c r="F25" s="76" t="s">
        <v>112</v>
      </c>
    </row>
    <row r="26" spans="1:6" ht="26.4" x14ac:dyDescent="0.25">
      <c r="A26" s="132">
        <v>42878</v>
      </c>
      <c r="B26" s="107">
        <v>126</v>
      </c>
      <c r="C26" s="54" t="s">
        <v>143</v>
      </c>
      <c r="D26" s="79" t="s">
        <v>144</v>
      </c>
      <c r="E26" s="54" t="s">
        <v>141</v>
      </c>
      <c r="F26" s="85" t="s">
        <v>112</v>
      </c>
    </row>
    <row r="27" spans="1:6" ht="24.9" customHeight="1" x14ac:dyDescent="0.25">
      <c r="A27" s="71" t="s">
        <v>145</v>
      </c>
      <c r="B27" s="111">
        <f>SUBTOTAL(109,B9:B26)</f>
        <v>1374.6000000000001</v>
      </c>
      <c r="C27" s="116"/>
      <c r="D27" s="117"/>
      <c r="E27" s="117"/>
      <c r="F27" s="118"/>
    </row>
    <row r="28" spans="1:6" x14ac:dyDescent="0.25">
      <c r="A28" s="72"/>
      <c r="B28" s="127"/>
      <c r="C28" s="127"/>
      <c r="D28" s="127"/>
      <c r="E28" s="127"/>
      <c r="F28" s="127"/>
    </row>
    <row r="29" spans="1:6" x14ac:dyDescent="0.25">
      <c r="A29" s="72"/>
      <c r="B29" s="3"/>
      <c r="C29" s="128"/>
      <c r="D29" s="127"/>
      <c r="E29" s="127"/>
      <c r="F29" s="127"/>
    </row>
    <row r="30" spans="1:6" x14ac:dyDescent="0.25">
      <c r="A30" s="169"/>
      <c r="B30" s="169"/>
      <c r="C30" s="169"/>
      <c r="D30" s="169"/>
      <c r="E30" s="169"/>
      <c r="F30" s="169"/>
    </row>
    <row r="31" spans="1:6" x14ac:dyDescent="0.25">
      <c r="A31" s="143"/>
      <c r="B31" s="143"/>
      <c r="C31" s="143"/>
      <c r="D31" s="127"/>
      <c r="E31" s="127"/>
      <c r="F31" s="127"/>
    </row>
    <row r="32" spans="1:6" x14ac:dyDescent="0.25">
      <c r="A32" s="73"/>
      <c r="B32" s="36"/>
      <c r="C32" s="128"/>
      <c r="D32" s="127"/>
      <c r="E32" s="127"/>
      <c r="F32" s="127"/>
    </row>
    <row r="33" spans="1:6" x14ac:dyDescent="0.25">
      <c r="A33" s="73"/>
      <c r="B33" s="36"/>
      <c r="C33" s="128"/>
      <c r="D33" s="128"/>
      <c r="E33" s="128"/>
      <c r="F33" s="128"/>
    </row>
    <row r="34" spans="1:6" ht="12.75" customHeight="1" x14ac:dyDescent="0.25">
      <c r="A34" s="160"/>
      <c r="B34" s="160"/>
      <c r="C34" s="129"/>
      <c r="D34" s="129"/>
      <c r="E34" s="129"/>
      <c r="F34" s="129"/>
    </row>
    <row r="35" spans="1:6" x14ac:dyDescent="0.25">
      <c r="B35" s="127"/>
      <c r="C35" s="127"/>
      <c r="D35" s="127"/>
      <c r="E35" s="127"/>
      <c r="F35" s="127"/>
    </row>
    <row r="36" spans="1:6" x14ac:dyDescent="0.25">
      <c r="B36" s="127"/>
      <c r="C36" s="127"/>
      <c r="D36" s="127"/>
      <c r="E36" s="127"/>
      <c r="F36" s="127"/>
    </row>
    <row r="37" spans="1:6" x14ac:dyDescent="0.25">
      <c r="B37" s="127"/>
      <c r="C37" s="127"/>
      <c r="D37" s="127"/>
      <c r="E37" s="127"/>
      <c r="F37" s="127"/>
    </row>
    <row r="38" spans="1:6" x14ac:dyDescent="0.25">
      <c r="B38" s="127"/>
      <c r="C38" s="127"/>
      <c r="D38" s="127"/>
      <c r="E38" s="127"/>
      <c r="F38" s="127"/>
    </row>
    <row r="39" spans="1:6" x14ac:dyDescent="0.25">
      <c r="B39" s="127"/>
      <c r="C39" s="127"/>
      <c r="D39" s="127"/>
      <c r="E39" s="127"/>
      <c r="F39" s="127"/>
    </row>
  </sheetData>
  <mergeCells count="10">
    <mergeCell ref="A34:B34"/>
    <mergeCell ref="A31:C31"/>
    <mergeCell ref="A1:F1"/>
    <mergeCell ref="A6:F6"/>
    <mergeCell ref="B2:F2"/>
    <mergeCell ref="B3:F3"/>
    <mergeCell ref="B4:F4"/>
    <mergeCell ref="A5:F5"/>
    <mergeCell ref="A30:F30"/>
    <mergeCell ref="A7:F7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Footer>&amp;L&amp;8&amp;Z&amp;F&amp;A&amp;R&amp;8&amp;D&amp;T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selection activeCell="B15" sqref="B15"/>
    </sheetView>
  </sheetViews>
  <sheetFormatPr defaultColWidth="9.109375" defaultRowHeight="13.2" x14ac:dyDescent="0.25"/>
  <cols>
    <col min="1" max="1" width="27.5546875" style="19" customWidth="1"/>
    <col min="2" max="2" width="52.33203125" style="19" customWidth="1"/>
    <col min="3" max="3" width="21.88671875" style="19" customWidth="1"/>
    <col min="4" max="4" width="22.33203125" style="19" customWidth="1"/>
    <col min="5" max="5" width="22.109375" style="19" customWidth="1"/>
    <col min="6" max="16384" width="9.109375" style="20"/>
  </cols>
  <sheetData>
    <row r="1" spans="1:14" ht="36" customHeight="1" x14ac:dyDescent="0.25">
      <c r="A1" s="161" t="s">
        <v>0</v>
      </c>
      <c r="B1" s="161"/>
      <c r="C1" s="161"/>
      <c r="D1" s="161"/>
      <c r="E1" s="161"/>
      <c r="F1" s="44"/>
    </row>
    <row r="2" spans="1:14" ht="36" customHeight="1" x14ac:dyDescent="0.25">
      <c r="A2" s="30" t="s">
        <v>1</v>
      </c>
      <c r="B2" s="148" t="str">
        <f>Travel!B2</f>
        <v>EDUCATION NEW ZEALAND</v>
      </c>
      <c r="C2" s="148"/>
      <c r="D2" s="148"/>
      <c r="E2" s="148"/>
      <c r="F2" s="31"/>
      <c r="G2" s="31"/>
    </row>
    <row r="3" spans="1:14" ht="36" customHeight="1" x14ac:dyDescent="0.25">
      <c r="A3" s="30" t="s">
        <v>3</v>
      </c>
      <c r="B3" s="149" t="str">
        <f>Travel!B3</f>
        <v>GRANT MCPHERSON</v>
      </c>
      <c r="C3" s="149"/>
      <c r="D3" s="149"/>
      <c r="E3" s="149"/>
      <c r="F3" s="32"/>
      <c r="G3" s="32"/>
    </row>
    <row r="4" spans="1:14" ht="36" customHeight="1" x14ac:dyDescent="0.25">
      <c r="A4" s="30" t="s">
        <v>5</v>
      </c>
      <c r="B4" s="149" t="str">
        <f>Travel!B4</f>
        <v>1 July 2016 to 30 June 2017</v>
      </c>
      <c r="C4" s="149"/>
      <c r="D4" s="149"/>
      <c r="E4" s="149"/>
      <c r="F4" s="32"/>
      <c r="G4" s="32"/>
    </row>
    <row r="5" spans="1:14" ht="36" customHeight="1" x14ac:dyDescent="0.25">
      <c r="A5" s="165" t="s">
        <v>146</v>
      </c>
      <c r="B5" s="166"/>
      <c r="C5" s="167"/>
      <c r="D5" s="167"/>
      <c r="E5" s="168"/>
    </row>
    <row r="6" spans="1:14" ht="19.5" customHeight="1" x14ac:dyDescent="0.25">
      <c r="A6" s="177" t="s">
        <v>147</v>
      </c>
      <c r="B6" s="178"/>
      <c r="C6" s="178"/>
      <c r="D6" s="178"/>
      <c r="E6" s="179"/>
      <c r="F6" s="33"/>
      <c r="G6" s="33"/>
    </row>
    <row r="7" spans="1:14" ht="25.5" customHeight="1" x14ac:dyDescent="0.25">
      <c r="A7" s="174" t="s">
        <v>148</v>
      </c>
      <c r="B7" s="175"/>
      <c r="C7" s="175"/>
      <c r="D7" s="175"/>
      <c r="E7" s="176"/>
    </row>
    <row r="8" spans="1:14" ht="26.4" x14ac:dyDescent="0.25">
      <c r="A8" s="18" t="s">
        <v>90</v>
      </c>
      <c r="B8" s="2" t="s">
        <v>149</v>
      </c>
      <c r="C8" s="2" t="s">
        <v>150</v>
      </c>
      <c r="D8" s="2" t="s">
        <v>151</v>
      </c>
      <c r="E8" s="9" t="s">
        <v>152</v>
      </c>
    </row>
    <row r="9" spans="1:14" ht="26.4" x14ac:dyDescent="0.25">
      <c r="A9" s="131">
        <v>42612</v>
      </c>
      <c r="B9" s="75" t="s">
        <v>153</v>
      </c>
      <c r="C9" s="54" t="s">
        <v>154</v>
      </c>
      <c r="D9" s="54" t="s">
        <v>155</v>
      </c>
      <c r="E9" s="29"/>
    </row>
    <row r="10" spans="1:14" x14ac:dyDescent="0.25">
      <c r="A10" s="131">
        <v>42720</v>
      </c>
      <c r="B10" s="75" t="s">
        <v>156</v>
      </c>
      <c r="C10" s="75" t="s">
        <v>157</v>
      </c>
      <c r="D10" s="75" t="s">
        <v>155</v>
      </c>
      <c r="E10" s="29"/>
    </row>
    <row r="11" spans="1:14" x14ac:dyDescent="0.25">
      <c r="A11" s="27"/>
      <c r="B11" s="127"/>
      <c r="C11" s="28"/>
      <c r="D11" s="28"/>
      <c r="E11" s="29"/>
      <c r="N11" s="34"/>
    </row>
    <row r="12" spans="1:14" x14ac:dyDescent="0.25">
      <c r="A12" s="46"/>
      <c r="B12" s="47"/>
      <c r="C12" s="47"/>
      <c r="D12" s="112"/>
      <c r="E12" s="48"/>
    </row>
    <row r="13" spans="1:14" ht="27.9" customHeight="1" x14ac:dyDescent="0.25">
      <c r="A13" s="119" t="s">
        <v>158</v>
      </c>
      <c r="B13" s="120"/>
      <c r="C13" s="116"/>
      <c r="D13" s="121">
        <f>SUM(D9:D12)</f>
        <v>0</v>
      </c>
      <c r="E13" s="118"/>
    </row>
    <row r="16" spans="1:14" ht="12.75" customHeight="1" x14ac:dyDescent="0.25">
      <c r="A16" s="28"/>
      <c r="B16" s="28"/>
      <c r="C16" s="28"/>
      <c r="D16" s="28"/>
      <c r="E16" s="28"/>
    </row>
    <row r="19" spans="6:6" ht="26.1" customHeight="1" x14ac:dyDescent="0.25"/>
    <row r="21" spans="6:6" x14ac:dyDescent="0.25">
      <c r="F21" s="128"/>
    </row>
    <row r="22" spans="6:6" ht="12.75" customHeight="1" x14ac:dyDescent="0.25">
      <c r="F22" s="129"/>
    </row>
  </sheetData>
  <mergeCells count="7">
    <mergeCell ref="A7:E7"/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 alignWithMargins="0">
    <oddFooter>&amp;L&amp;8&amp;Z&amp;F&amp;A&amp;R&amp;8&amp;D&amp;T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Normal="100" workbookViewId="0">
      <selection activeCell="I15" sqref="I15"/>
    </sheetView>
  </sheetViews>
  <sheetFormatPr defaultColWidth="9.109375" defaultRowHeight="13.2" x14ac:dyDescent="0.25"/>
  <cols>
    <col min="1" max="1" width="25.109375" style="11" customWidth="1"/>
    <col min="2" max="2" width="18.44140625" style="11" customWidth="1"/>
    <col min="3" max="3" width="27.5546875" style="11" customWidth="1"/>
    <col min="4" max="4" width="50" style="11" customWidth="1"/>
    <col min="5" max="5" width="27.5546875" style="11" customWidth="1"/>
    <col min="6" max="16384" width="9.109375" style="12"/>
  </cols>
  <sheetData>
    <row r="1" spans="1:5" ht="36" customHeight="1" x14ac:dyDescent="0.25">
      <c r="A1" s="161" t="s">
        <v>0</v>
      </c>
      <c r="B1" s="161"/>
      <c r="C1" s="161"/>
      <c r="D1" s="161"/>
      <c r="E1" s="161"/>
    </row>
    <row r="2" spans="1:5" ht="36" customHeight="1" x14ac:dyDescent="0.25">
      <c r="A2" s="30" t="s">
        <v>1</v>
      </c>
      <c r="B2" s="148" t="str">
        <f>Travel!B2</f>
        <v>EDUCATION NEW ZEALAND</v>
      </c>
      <c r="C2" s="148"/>
      <c r="D2" s="148"/>
      <c r="E2" s="148"/>
    </row>
    <row r="3" spans="1:5" ht="36" customHeight="1" x14ac:dyDescent="0.25">
      <c r="A3" s="30" t="s">
        <v>3</v>
      </c>
      <c r="B3" s="149" t="str">
        <f>Travel!B3</f>
        <v>GRANT MCPHERSON</v>
      </c>
      <c r="C3" s="149"/>
      <c r="D3" s="149"/>
      <c r="E3" s="149"/>
    </row>
    <row r="4" spans="1:5" ht="36" customHeight="1" x14ac:dyDescent="0.25">
      <c r="A4" s="30" t="s">
        <v>5</v>
      </c>
      <c r="B4" s="149" t="str">
        <f>Travel!B4</f>
        <v>1 July 2016 to 30 June 2017</v>
      </c>
      <c r="C4" s="149"/>
      <c r="D4" s="149"/>
      <c r="E4" s="149"/>
    </row>
    <row r="5" spans="1:5" ht="36" customHeight="1" x14ac:dyDescent="0.25">
      <c r="A5" s="150" t="s">
        <v>159</v>
      </c>
      <c r="B5" s="187"/>
      <c r="C5" s="167"/>
      <c r="D5" s="167"/>
      <c r="E5" s="168"/>
    </row>
    <row r="6" spans="1:5" ht="36" customHeight="1" x14ac:dyDescent="0.25">
      <c r="A6" s="186" t="s">
        <v>160</v>
      </c>
      <c r="B6" s="178"/>
      <c r="C6" s="178"/>
      <c r="D6" s="178"/>
      <c r="E6" s="179"/>
    </row>
    <row r="7" spans="1:5" ht="36" customHeight="1" x14ac:dyDescent="0.3">
      <c r="A7" s="184" t="s">
        <v>159</v>
      </c>
      <c r="B7" s="185"/>
      <c r="C7" s="5"/>
      <c r="D7" s="5"/>
      <c r="E7" s="17"/>
    </row>
    <row r="8" spans="1:5" ht="26.4" x14ac:dyDescent="0.25">
      <c r="A8" s="18" t="s">
        <v>90</v>
      </c>
      <c r="B8" s="2" t="s">
        <v>11</v>
      </c>
      <c r="C8" s="2" t="s">
        <v>36</v>
      </c>
      <c r="D8" s="2" t="s">
        <v>161</v>
      </c>
      <c r="E8" s="9" t="s">
        <v>162</v>
      </c>
    </row>
    <row r="9" spans="1:5" x14ac:dyDescent="0.25">
      <c r="A9" s="132">
        <v>42564</v>
      </c>
      <c r="B9" s="107">
        <v>500</v>
      </c>
      <c r="C9" s="82" t="s">
        <v>163</v>
      </c>
      <c r="D9" s="82" t="s">
        <v>164</v>
      </c>
      <c r="E9" s="83" t="s">
        <v>112</v>
      </c>
    </row>
    <row r="10" spans="1:5" x14ac:dyDescent="0.25">
      <c r="A10" s="132">
        <v>42582</v>
      </c>
      <c r="B10" s="107">
        <v>244.95499999999998</v>
      </c>
      <c r="C10" s="82" t="s">
        <v>165</v>
      </c>
      <c r="D10" s="82" t="s">
        <v>166</v>
      </c>
      <c r="E10" s="83" t="s">
        <v>167</v>
      </c>
    </row>
    <row r="11" spans="1:5" x14ac:dyDescent="0.25">
      <c r="A11" s="132">
        <v>42613</v>
      </c>
      <c r="B11" s="107">
        <v>91.155000000000001</v>
      </c>
      <c r="C11" s="82" t="s">
        <v>165</v>
      </c>
      <c r="D11" s="82" t="s">
        <v>168</v>
      </c>
      <c r="E11" s="83" t="s">
        <v>169</v>
      </c>
    </row>
    <row r="12" spans="1:5" x14ac:dyDescent="0.25">
      <c r="A12" s="132">
        <v>42628</v>
      </c>
      <c r="B12" s="107">
        <v>16</v>
      </c>
      <c r="C12" s="82" t="s">
        <v>170</v>
      </c>
      <c r="D12" s="82" t="s">
        <v>171</v>
      </c>
      <c r="E12" s="83" t="s">
        <v>112</v>
      </c>
    </row>
    <row r="13" spans="1:5" x14ac:dyDescent="0.25">
      <c r="A13" s="132">
        <v>42643</v>
      </c>
      <c r="B13" s="107">
        <v>38.950499999999991</v>
      </c>
      <c r="C13" s="82" t="s">
        <v>165</v>
      </c>
      <c r="D13" s="82" t="s">
        <v>172</v>
      </c>
      <c r="E13" s="83" t="s">
        <v>169</v>
      </c>
    </row>
    <row r="14" spans="1:5" x14ac:dyDescent="0.25">
      <c r="A14" s="132">
        <v>42674</v>
      </c>
      <c r="B14" s="107">
        <v>58.356999999999999</v>
      </c>
      <c r="C14" s="82" t="s">
        <v>165</v>
      </c>
      <c r="D14" s="82" t="s">
        <v>173</v>
      </c>
      <c r="E14" s="83" t="s">
        <v>169</v>
      </c>
    </row>
    <row r="15" spans="1:5" ht="26.4" x14ac:dyDescent="0.25">
      <c r="A15" s="132" t="s">
        <v>174</v>
      </c>
      <c r="B15" s="107">
        <v>105.6</v>
      </c>
      <c r="C15" s="82" t="s">
        <v>42</v>
      </c>
      <c r="D15" s="82" t="s">
        <v>175</v>
      </c>
      <c r="E15" s="83" t="s">
        <v>112</v>
      </c>
    </row>
    <row r="16" spans="1:5" x14ac:dyDescent="0.25">
      <c r="A16" s="132">
        <v>42704</v>
      </c>
      <c r="B16" s="107">
        <v>138.55500000000001</v>
      </c>
      <c r="C16" s="82" t="s">
        <v>165</v>
      </c>
      <c r="D16" s="82" t="s">
        <v>176</v>
      </c>
      <c r="E16" s="83" t="s">
        <v>177</v>
      </c>
    </row>
    <row r="17" spans="1:5" x14ac:dyDescent="0.25">
      <c r="A17" s="132">
        <v>42735</v>
      </c>
      <c r="B17" s="107">
        <v>38.755000000000003</v>
      </c>
      <c r="C17" s="82" t="s">
        <v>165</v>
      </c>
      <c r="D17" s="82" t="s">
        <v>178</v>
      </c>
      <c r="E17" s="83" t="s">
        <v>169</v>
      </c>
    </row>
    <row r="18" spans="1:5" x14ac:dyDescent="0.25">
      <c r="A18" s="132">
        <v>42766</v>
      </c>
      <c r="B18" s="107">
        <v>64.349999999999994</v>
      </c>
      <c r="C18" s="82" t="s">
        <v>165</v>
      </c>
      <c r="D18" s="82" t="s">
        <v>179</v>
      </c>
      <c r="E18" s="83" t="s">
        <v>169</v>
      </c>
    </row>
    <row r="19" spans="1:5" x14ac:dyDescent="0.25">
      <c r="A19" s="132">
        <v>42794</v>
      </c>
      <c r="B19" s="107">
        <v>38.755000000000003</v>
      </c>
      <c r="C19" s="82" t="s">
        <v>165</v>
      </c>
      <c r="D19" s="82" t="s">
        <v>180</v>
      </c>
      <c r="E19" s="83" t="s">
        <v>169</v>
      </c>
    </row>
    <row r="20" spans="1:5" x14ac:dyDescent="0.25">
      <c r="A20" s="132">
        <v>42808</v>
      </c>
      <c r="B20" s="107">
        <v>270.66000000000003</v>
      </c>
      <c r="C20" s="82" t="s">
        <v>181</v>
      </c>
      <c r="D20" s="82" t="s">
        <v>182</v>
      </c>
      <c r="E20" s="83" t="s">
        <v>112</v>
      </c>
    </row>
    <row r="21" spans="1:5" x14ac:dyDescent="0.25">
      <c r="A21" s="132">
        <v>42814</v>
      </c>
      <c r="B21" s="107">
        <v>339.99749999999995</v>
      </c>
      <c r="C21" s="82" t="s">
        <v>183</v>
      </c>
      <c r="D21" s="82" t="s">
        <v>184</v>
      </c>
      <c r="E21" s="83" t="s">
        <v>112</v>
      </c>
    </row>
    <row r="22" spans="1:5" x14ac:dyDescent="0.25">
      <c r="A22" s="132">
        <v>42816</v>
      </c>
      <c r="B22" s="107">
        <v>96.484999999999999</v>
      </c>
      <c r="C22" s="82" t="s">
        <v>185</v>
      </c>
      <c r="D22" s="82" t="s">
        <v>186</v>
      </c>
      <c r="E22" s="83" t="s">
        <v>112</v>
      </c>
    </row>
    <row r="23" spans="1:5" x14ac:dyDescent="0.25">
      <c r="A23" s="132">
        <v>42825</v>
      </c>
      <c r="B23" s="107">
        <v>38.755000000000003</v>
      </c>
      <c r="C23" s="82" t="s">
        <v>165</v>
      </c>
      <c r="D23" s="82" t="s">
        <v>187</v>
      </c>
      <c r="E23" s="83" t="s">
        <v>169</v>
      </c>
    </row>
    <row r="24" spans="1:5" x14ac:dyDescent="0.25">
      <c r="A24" s="132">
        <v>42828</v>
      </c>
      <c r="B24" s="107">
        <v>485</v>
      </c>
      <c r="C24" s="82" t="s">
        <v>183</v>
      </c>
      <c r="D24" s="82" t="s">
        <v>188</v>
      </c>
      <c r="E24" s="83" t="s">
        <v>112</v>
      </c>
    </row>
    <row r="25" spans="1:5" x14ac:dyDescent="0.25">
      <c r="A25" s="132">
        <v>42821</v>
      </c>
      <c r="B25" s="107">
        <v>40</v>
      </c>
      <c r="C25" s="82" t="s">
        <v>189</v>
      </c>
      <c r="D25" s="82" t="s">
        <v>190</v>
      </c>
      <c r="E25" s="83" t="s">
        <v>112</v>
      </c>
    </row>
    <row r="26" spans="1:5" x14ac:dyDescent="0.25">
      <c r="A26" s="132">
        <v>42855</v>
      </c>
      <c r="B26" s="107">
        <v>38.950000000000003</v>
      </c>
      <c r="C26" s="82" t="s">
        <v>165</v>
      </c>
      <c r="D26" s="82" t="s">
        <v>191</v>
      </c>
      <c r="E26" s="83" t="s">
        <v>169</v>
      </c>
    </row>
    <row r="27" spans="1:5" x14ac:dyDescent="0.25">
      <c r="A27" s="132">
        <v>42881</v>
      </c>
      <c r="B27" s="107">
        <v>125</v>
      </c>
      <c r="C27" s="82" t="s">
        <v>185</v>
      </c>
      <c r="D27" s="82" t="s">
        <v>192</v>
      </c>
      <c r="E27" s="83" t="s">
        <v>112</v>
      </c>
    </row>
    <row r="28" spans="1:5" x14ac:dyDescent="0.25">
      <c r="A28" s="132">
        <v>42886</v>
      </c>
      <c r="B28" s="107">
        <v>588.42999999999995</v>
      </c>
      <c r="C28" s="82" t="s">
        <v>165</v>
      </c>
      <c r="D28" s="82" t="s">
        <v>193</v>
      </c>
      <c r="E28" s="83" t="s">
        <v>194</v>
      </c>
    </row>
    <row r="29" spans="1:5" x14ac:dyDescent="0.25">
      <c r="A29" s="138">
        <v>42916</v>
      </c>
      <c r="B29" s="108">
        <v>109.34</v>
      </c>
      <c r="C29" s="105" t="s">
        <v>165</v>
      </c>
      <c r="D29" s="105" t="s">
        <v>195</v>
      </c>
      <c r="E29" s="106" t="s">
        <v>196</v>
      </c>
    </row>
    <row r="30" spans="1:5" ht="14.1" customHeight="1" x14ac:dyDescent="0.25">
      <c r="A30" s="180" t="s">
        <v>197</v>
      </c>
      <c r="B30" s="182">
        <f>SUBTOTAL(109,B9:B29)</f>
        <v>3468.0499999999997</v>
      </c>
      <c r="C30" s="122"/>
      <c r="D30" s="123"/>
      <c r="E30" s="124"/>
    </row>
    <row r="31" spans="1:5" ht="14.1" customHeight="1" x14ac:dyDescent="0.25">
      <c r="A31" s="181"/>
      <c r="B31" s="183"/>
      <c r="C31" s="125"/>
      <c r="D31" s="126"/>
      <c r="E31" s="51"/>
    </row>
    <row r="32" spans="1:5" ht="14.1" customHeight="1" x14ac:dyDescent="0.25">
      <c r="A32" s="16"/>
      <c r="B32" s="127"/>
      <c r="C32" s="127"/>
      <c r="D32" s="127"/>
      <c r="E32" s="127"/>
    </row>
    <row r="33" spans="1:6" x14ac:dyDescent="0.25">
      <c r="A33" s="16"/>
      <c r="B33" s="127"/>
      <c r="C33" s="127"/>
      <c r="D33" s="127"/>
      <c r="E33" s="127"/>
    </row>
    <row r="34" spans="1:6" ht="12.75" customHeight="1" x14ac:dyDescent="0.25">
      <c r="A34" s="16"/>
      <c r="B34" s="127"/>
      <c r="C34" s="127"/>
      <c r="D34" s="127"/>
      <c r="E34" s="127"/>
    </row>
    <row r="35" spans="1:6" ht="14.1" customHeight="1" x14ac:dyDescent="0.25">
      <c r="A35" s="127"/>
      <c r="B35" s="127"/>
      <c r="C35" s="127"/>
      <c r="D35" s="127"/>
      <c r="E35" s="127"/>
    </row>
    <row r="36" spans="1:6" x14ac:dyDescent="0.25">
      <c r="A36" s="127"/>
      <c r="B36" s="127"/>
      <c r="C36" s="127"/>
      <c r="D36" s="127"/>
      <c r="E36" s="127"/>
    </row>
    <row r="37" spans="1:6" ht="12.6" customHeight="1" x14ac:dyDescent="0.25">
      <c r="F37" s="15"/>
    </row>
    <row r="38" spans="1:6" x14ac:dyDescent="0.25">
      <c r="F38" s="128"/>
    </row>
    <row r="39" spans="1:6" ht="12.75" customHeight="1" x14ac:dyDescent="0.25">
      <c r="F39" s="129"/>
    </row>
    <row r="40" spans="1:6" x14ac:dyDescent="0.25">
      <c r="F40" s="15"/>
    </row>
    <row r="41" spans="1:6" x14ac:dyDescent="0.25">
      <c r="F41" s="15"/>
    </row>
    <row r="42" spans="1:6" x14ac:dyDescent="0.25">
      <c r="F42" s="15"/>
    </row>
    <row r="43" spans="1:6" x14ac:dyDescent="0.25">
      <c r="F43" s="15"/>
    </row>
    <row r="44" spans="1:6" x14ac:dyDescent="0.25">
      <c r="F44" s="15"/>
    </row>
  </sheetData>
  <mergeCells count="9">
    <mergeCell ref="A30:A31"/>
    <mergeCell ref="B30:B31"/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 alignWithMargins="0">
    <oddFooter>&amp;L&amp;8&amp;Z&amp;F&amp;A&amp;R&amp;8&amp;D&amp;T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D5B88F47BA92E64CB522E2E3074B33A8" ma:contentTypeVersion="12" ma:contentTypeDescription="Create a new Excel Spreadsheet" ma:contentTypeScope="" ma:versionID="0a3f96b45667ae0beff40a0ea1699021">
  <xsd:schema xmlns:xsd="http://www.w3.org/2001/XMLSchema" xmlns:xs="http://www.w3.org/2001/XMLSchema" xmlns:p="http://schemas.microsoft.com/office/2006/metadata/properties" xmlns:ns3="01be4277-2979-4a68-876d-b92b25fceece" xmlns:ns4="40d8fdca-c031-4ede-bd83-986bd3499c4f" targetNamespace="http://schemas.microsoft.com/office/2006/metadata/properties" ma:root="true" ma:fieldsID="bae2585bf390ec3c308bda126ac946ac" ns3:_="" ns4:_="">
    <xsd:import namespace="01be4277-2979-4a68-876d-b92b25fceece"/>
    <xsd:import namespace="40d8fdca-c031-4ede-bd83-986bd3499c4f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CatchAll" minOccurs="0"/>
                <xsd:element ref="ns4:TaxCatchAllLabel" minOccurs="0"/>
                <xsd:element ref="ns4:ENZAudience" minOccurs="0"/>
                <xsd:element ref="ns4:hf6f8425742942ce996f03b8a46e85bc" minOccurs="0"/>
                <xsd:element ref="ns3:C3FinancialYearNote" minOccurs="0"/>
                <xsd:element ref="ns4:ENZCompliance" minOccurs="0"/>
                <xsd:element ref="ns4:i97195ef2ac04be4802cb72747954982" minOccurs="0"/>
                <xsd:element ref="ns4:m5527a7c684b44749bfb914d709bc3e7" minOccurs="0"/>
                <xsd:element ref="ns4:ee7c471fd65e4297a2a17f097547530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readOnly="false" ma:fieldId="{6a3fe89f-a6dd-4490-a9c1-3ef38d67b8c7}" ma:sspId="4d089cae-0db0-468c-adf9-3162fcdb1346" ma:termSetId="bb4b80ea-d13b-4d58-975b-82b20552ad69" ma:anchorId="98ee3d5a-ecba-48ce-b828-ae5821b1b7e8" ma:open="false" ma:isKeyword="false">
      <xsd:complexType>
        <xsd:sequence>
          <xsd:element ref="pc:Terms" minOccurs="0" maxOccurs="1"/>
        </xsd:sequence>
      </xsd:complexType>
    </xsd:element>
    <xsd:element name="C3FinancialYearNote" ma:index="15" nillable="true" ma:taxonomy="true" ma:internalName="C3FinancialYearNote" ma:taxonomyFieldName="C3FinancialYear" ma:displayName="Financial Year" ma:readOnly="false" ma:default="2;#FY16/17|dc497af3-77ed-4be4-889a-d7997d9762d1" ma:fieldId="{576f231a-00e6-4d2f-a497-c942067ed5b8}" ma:sspId="4d089cae-0db0-468c-adf9-3162fcdb1346" ma:termSetId="632b6c3a-d534-4114-9b8e-3803da0430b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8fdca-c031-4ede-bd83-986bd3499c4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00e6591-1d48-4241-80ed-002995c73d17}" ma:internalName="TaxCatchAll" ma:showField="CatchAllData" ma:web="40d8fdca-c031-4ede-bd83-986bd3499c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300e6591-1d48-4241-80ed-002995c73d17}" ma:internalName="TaxCatchAllLabel" ma:readOnly="true" ma:showField="CatchAllDataLabel" ma:web="40d8fdca-c031-4ede-bd83-986bd3499c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ZAudience" ma:index="12" nillable="true" ma:displayName="Audience" ma:description="Use to specify who the audience is" ma:format="Dropdown" ma:internalName="ENZAudience">
      <xsd:simpleType>
        <xsd:restriction base="dms:Choice">
          <xsd:enumeration value="Internal"/>
          <xsd:enumeration value="External"/>
        </xsd:restriction>
      </xsd:simpleType>
    </xsd:element>
    <xsd:element name="hf6f8425742942ce996f03b8a46e85bc" ma:index="13" nillable="true" ma:taxonomy="true" ma:internalName="hf6f8425742942ce996f03b8a46e85bc" ma:taxonomyFieldName="ENZMonth" ma:displayName="Month" ma:fieldId="{1f6f8425-7429-42ce-996f-03b8a46e85bc}" ma:sspId="4d089cae-0db0-468c-adf9-3162fcdb1346" ma:termSetId="5c72b20c-7220-4fed-8a5f-98cd756a27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ZCompliance" ma:index="17" nillable="true" ma:displayName="Compliance?" ma:default="0" ma:description="Compliance" ma:internalName="ENZCompliance">
      <xsd:simpleType>
        <xsd:restriction base="dms:Boolean"/>
      </xsd:simpleType>
    </xsd:element>
    <xsd:element name="i97195ef2ac04be4802cb72747954982" ma:index="18" nillable="true" ma:taxonomy="true" ma:internalName="i97195ef2ac04be4802cb72747954982" ma:taxonomyFieldName="ENZCountry" ma:displayName="Country" ma:default="" ma:fieldId="{297195ef-2ac0-4be4-802c-b72747954982}" ma:taxonomyMulti="true" ma:sspId="4d089cae-0db0-468c-adf9-3162fcdb1346" ma:termSetId="151de816-ee7b-4103-b2a0-c3656fbfd2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527a7c684b44749bfb914d709bc3e7" ma:index="21" nillable="true" ma:taxonomy="true" ma:internalName="m5527a7c684b44749bfb914d709bc3e7" ma:taxonomyFieldName="Financial_x0020_Reporting_x0020_Activity" ma:displayName="Financial Reporting Activity" ma:default="" ma:fieldId="{65527a7c-684b-4474-9bfb-914d709bc3e7}" ma:sspId="4d089cae-0db0-468c-adf9-3162fcdb1346" ma:termSetId="26d8a312-5874-4e7d-a46b-809f62a4ad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7c471fd65e4297a2a17f0975475300" ma:index="22" nillable="true" ma:taxonomy="true" ma:internalName="ee7c471fd65e4297a2a17f0975475300" ma:taxonomyFieldName="ENZGlobalRegion" ma:displayName="Global Region" ma:default="" ma:fieldId="{ee7c471f-d65e-4297-a2a1-7f0975475300}" ma:sspId="4d089cae-0db0-468c-adf9-3162fcdb1346" ma:termSetId="470a45cb-f221-4165-9ca4-afffd181bd7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 Expenses</TermName>
          <TermId xmlns="http://schemas.microsoft.com/office/infopath/2007/PartnerControls">d970ab78-8c14-4757-a5bb-a6189f86cae2</TermId>
        </TermInfo>
      </Terms>
    </C3TopicNote>
    <hf6f8425742942ce996f03b8a46e85bc xmlns="40d8fdca-c031-4ede-bd83-986bd3499c4f">
      <Terms xmlns="http://schemas.microsoft.com/office/infopath/2007/PartnerControls">
        <TermInfo xmlns="http://schemas.microsoft.com/office/infopath/2007/PartnerControls">
          <TermName>June</TermName>
          <TermId>22d6b823-37d1-4c50-8efe-1dd44d19f6d9</TermId>
        </TermInfo>
      </Terms>
    </hf6f8425742942ce996f03b8a46e85bc>
    <TaxCatchAll xmlns="40d8fdca-c031-4ede-bd83-986bd3499c4f">
      <Value>195</Value>
      <Value>68</Value>
      <Value>2</Value>
    </TaxCatchAll>
    <ENZAudience xmlns="40d8fdca-c031-4ede-bd83-986bd3499c4f">External</ENZAudience>
    <C3FinancialYear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FY16/17</TermName>
          <TermId xmlns="http://schemas.microsoft.com/office/infopath/2007/PartnerControls">dc497af3-77ed-4be4-889a-d7997d9762d1</TermId>
        </TermInfo>
      </Terms>
    </C3FinancialYearNote>
    <i97195ef2ac04be4802cb72747954982 xmlns="40d8fdca-c031-4ede-bd83-986bd3499c4f">
      <Terms xmlns="http://schemas.microsoft.com/office/infopath/2007/PartnerControls"/>
    </i97195ef2ac04be4802cb72747954982>
    <m5527a7c684b44749bfb914d709bc3e7 xmlns="40d8fdca-c031-4ede-bd83-986bd3499c4f">
      <Terms xmlns="http://schemas.microsoft.com/office/infopath/2007/PartnerControls"/>
    </m5527a7c684b44749bfb914d709bc3e7>
    <ENZCompliance xmlns="40d8fdca-c031-4ede-bd83-986bd3499c4f">false</ENZCompliance>
    <ee7c471fd65e4297a2a17f0975475300 xmlns="40d8fdca-c031-4ede-bd83-986bd3499c4f">
      <Terms xmlns="http://schemas.microsoft.com/office/infopath/2007/PartnerControls"/>
    </ee7c471fd65e4297a2a17f097547530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A283EE-61BB-4CC9-9E4D-14C480862F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40d8fdca-c031-4ede-bd83-986bd3499c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9B4494-725A-4BB8-8236-F7F553A0767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0d8fdca-c031-4ede-bd83-986bd3499c4f"/>
    <ds:schemaRef ds:uri="http://schemas.microsoft.com/office/2006/documentManagement/types"/>
    <ds:schemaRef ds:uri="http://schemas.microsoft.com/office/infopath/2007/PartnerControls"/>
    <ds:schemaRef ds:uri="01be4277-2979-4a68-876d-b92b25fceec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45FD1C-4869-4794-A07B-68B3DD3AC4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expenses</vt:lpstr>
      <vt:lpstr>'All other expenses'!Print_Area</vt:lpstr>
      <vt:lpstr>'Gifts and Benefits'!Print_Area</vt:lpstr>
      <vt:lpstr>Hospitality!Print_Area</vt:lpstr>
      <vt:lpstr>Travel!Print_Area</vt:lpstr>
    </vt:vector>
  </TitlesOfParts>
  <Manager/>
  <Company>SSC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 Expense Disclosure for 2016 - 2017 new version</dc:title>
  <dc:subject/>
  <dc:creator>mortensenm</dc:creator>
  <cp:keywords/>
  <dc:description/>
  <cp:lastModifiedBy>Maria McDiarmid</cp:lastModifiedBy>
  <cp:revision/>
  <dcterms:created xsi:type="dcterms:W3CDTF">2010-10-17T20:59:02Z</dcterms:created>
  <dcterms:modified xsi:type="dcterms:W3CDTF">2017-07-27T21:59:02Z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0x0101005496552013C0BA46BE88192D5C6EB20B009CDED344C2374474AE96CC935068FE7100D5B88F47BA92E64CB522E2E3074B33A8</vt:lpwstr>
  </property>
  <property fmtid="{D5CDD505-2E9C-101B-9397-08002B2CF9AE}" pid="3" name="C3Topic">
    <vt:lpwstr>195;#CE Expenses|d970ab78-8c14-4757-a5bb-a6189f86cae2</vt:lpwstr>
  </property>
  <property fmtid="{D5CDD505-2E9C-101B-9397-08002B2CF9AE}" pid="4" name="ENZMonth">
    <vt:lpwstr>68;#June|22d6b823-37d1-4c50-8efe-1dd44d19f6d9</vt:lpwstr>
  </property>
  <property fmtid="{D5CDD505-2E9C-101B-9397-08002B2CF9AE}" pid="5" name="Financial Reporting Activity">
    <vt:lpwstr/>
  </property>
  <property fmtid="{D5CDD505-2E9C-101B-9397-08002B2CF9AE}" pid="6" name="C3FinancialYear">
    <vt:lpwstr>2;#FY16/17|dc497af3-77ed-4be4-889a-d7997d9762d1</vt:lpwstr>
  </property>
  <property fmtid="{D5CDD505-2E9C-101B-9397-08002B2CF9AE}" pid="7" name="ENZCountry">
    <vt:lpwstr/>
  </property>
  <property fmtid="{D5CDD505-2E9C-101B-9397-08002B2CF9AE}" pid="8" name="TaxKeyword">
    <vt:lpwstr/>
  </property>
  <property fmtid="{D5CDD505-2E9C-101B-9397-08002B2CF9AE}" pid="9" name="TaxKeywordTaxHTField">
    <vt:lpwstr/>
  </property>
  <property fmtid="{D5CDD505-2E9C-101B-9397-08002B2CF9AE}" pid="10" name="ENZGlobalRegion">
    <vt:lpwstr/>
  </property>
</Properties>
</file>